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Yearly summary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[&gt;=10000000]##\,##\,##\,##0;[&gt;=100000]##\,##\,##0;##,##0"/>
    <numFmt numFmtId="165" formatCode="0.##"/>
    <numFmt numFmtId="166" formatCode="yyyy-mm-dd"/>
    <numFmt numFmtId="167" formatCode="dd-mmm-yyyy"/>
    <numFmt numFmtId="168" formatCode="mmm-yyyy"/>
    <numFmt numFmtId="169" formatCode="[&gt;=10000000]##\,##\,##\,##0;[&gt;=100000]##\,##\,##0;[&gt;0.005]##,##0;;"/>
  </numFmts>
  <fonts count="11">
    <font>
      <name val="Calibri"/>
      <family val="2"/>
      <color theme="1"/>
      <sz val="11"/>
      <scheme val="minor"/>
    </font>
    <font>
      <b val="1"/>
      <color rgb="000B2B4A"/>
      <sz val="18"/>
    </font>
    <font>
      <color rgb="00587390"/>
      <sz val="10"/>
    </font>
    <font>
      <b val="1"/>
      <color rgb="000B2B4A"/>
    </font>
    <font>
      <b val="1"/>
      <color rgb="000B2B4A"/>
      <sz val="12"/>
    </font>
    <font>
      <b val="1"/>
      <color rgb="000A7C72"/>
      <sz val="12"/>
    </font>
    <font>
      <color rgb="000B2B4A"/>
    </font>
    <font>
      <b val="1"/>
      <color rgb="00FFFFFF"/>
    </font>
    <font>
      <b val="1"/>
      <color rgb="000B2B4A"/>
      <sz val="16"/>
    </font>
    <font>
      <b val="1"/>
      <color rgb="000B2B4A"/>
      <sz val="13"/>
    </font>
    <font>
      <color rgb="000B2B4A"/>
      <sz val="11"/>
    </font>
  </fonts>
  <fills count="5">
    <fill>
      <patternFill/>
    </fill>
    <fill>
      <patternFill patternType="gray125"/>
    </fill>
    <fill>
      <patternFill patternType="solid">
        <fgColor rgb="00FFF4B8"/>
      </patternFill>
    </fill>
    <fill>
      <patternFill patternType="solid">
        <fgColor rgb="00F4F7F9"/>
      </patternFill>
    </fill>
    <fill>
      <patternFill patternType="solid">
        <fgColor rgb="000B2B4A"/>
      </patternFill>
    </fill>
  </fills>
  <borders count="2">
    <border>
      <left/>
      <right/>
      <top/>
      <bottom/>
      <diagonal/>
    </border>
    <border>
      <left style="thin">
        <color rgb="00E2E8EE"/>
      </left>
      <right style="thin">
        <color rgb="00E2E8EE"/>
      </right>
      <top style="thin">
        <color rgb="00E2E8EE"/>
      </top>
      <bottom style="thin">
        <color rgb="00E2E8E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pivotButton="0" quotePrefix="0" xfId="0"/>
    <xf numFmtId="2" fontId="4" fillId="2" borderId="1" pivotButton="0" quotePrefix="0" xfId="0"/>
    <xf numFmtId="165" fontId="4" fillId="2" borderId="1" pivotButton="0" quotePrefix="0" xfId="0"/>
    <xf numFmtId="167" fontId="4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164" fontId="3" fillId="3" borderId="1" pivotButton="0" quotePrefix="0" xfId="0"/>
    <xf numFmtId="1" fontId="3" fillId="3" borderId="1" pivotButton="0" quotePrefix="0" xfId="0"/>
    <xf numFmtId="0" fontId="7" fillId="4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68" fontId="0" fillId="0" borderId="0" pivotButton="0" quotePrefix="0" xfId="0"/>
    <xf numFmtId="169" fontId="0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4F7F9"/>
          <bgColor rgb="00F4F7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7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7" customWidth="1" min="9" max="9"/>
  </cols>
  <sheetData>
    <row r="1">
      <c r="A1" s="1" t="inlineStr">
        <is>
          <t>Home loan amortisation schedule</t>
        </is>
      </c>
    </row>
    <row r="2">
      <c r="A2" s="2" t="inlineStr">
        <is>
          <t>Change the yellow cells. Everything else updates. Free from loancheckup.in. Estimates only: your lender's statement is the final word.</t>
        </is>
      </c>
    </row>
    <row r="4">
      <c r="A4" s="3" t="inlineStr">
        <is>
          <t>Loan amount (₹)</t>
        </is>
      </c>
      <c r="C4" s="4" t="n">
        <v>5000000</v>
      </c>
    </row>
    <row r="5">
      <c r="A5" s="3" t="inlineStr">
        <is>
          <t>Interest rate (% a year)</t>
        </is>
      </c>
      <c r="C5" s="5" t="n">
        <v>8.5</v>
      </c>
    </row>
    <row r="6">
      <c r="A6" s="3" t="inlineStr">
        <is>
          <t>Tenure (years)</t>
        </is>
      </c>
      <c r="C6" s="6" t="n">
        <v>20</v>
      </c>
    </row>
    <row r="7">
      <c r="A7" s="3" t="inlineStr">
        <is>
          <t>First EMI date</t>
        </is>
      </c>
      <c r="C7" s="7" t="n">
        <v>46331</v>
      </c>
    </row>
    <row r="8">
      <c r="A8" s="3" t="inlineStr">
        <is>
          <t>Extra payment every month (₹, optional)</t>
        </is>
      </c>
      <c r="C8" s="4" t="n">
        <v>0</v>
      </c>
    </row>
    <row r="9">
      <c r="A9" s="8" t="inlineStr">
        <is>
          <t>Results</t>
        </is>
      </c>
    </row>
    <row r="10">
      <c r="A10" s="9" t="inlineStr">
        <is>
          <t>Monthly EMI (₹)</t>
        </is>
      </c>
      <c r="C10" s="10">
        <f>IF(C5=0,C4/(C6*12),C4*(C5/1200)/(1-(1+C5/1200)^-(C6*12)))</f>
        <v/>
      </c>
    </row>
    <row r="11">
      <c r="A11" s="9" t="inlineStr">
        <is>
          <t>Total interest with no extra payment (₹)</t>
        </is>
      </c>
      <c r="C11" s="10">
        <f>C10*C6*12-C4</f>
        <v/>
      </c>
    </row>
    <row r="12">
      <c r="A12" s="9" t="inlineStr">
        <is>
          <t>Total interest with your extra payment (₹)</t>
        </is>
      </c>
      <c r="C12" s="10">
        <f>SUM($E$18:$E$497)</f>
        <v/>
      </c>
    </row>
    <row r="13">
      <c r="A13" s="9" t="inlineStr">
        <is>
          <t>Interest saved by the extra payment (₹)</t>
        </is>
      </c>
      <c r="C13" s="10">
        <f>C11-C12</f>
        <v/>
      </c>
    </row>
    <row r="14">
      <c r="A14" s="9" t="inlineStr">
        <is>
          <t>Months to finish the loan</t>
        </is>
      </c>
      <c r="C14" s="11">
        <f>COUNT($A$18:$A$497)</f>
        <v/>
      </c>
    </row>
    <row r="15">
      <c r="A15" s="9" t="inlineStr">
        <is>
          <t>Months saved by the extra payment</t>
        </is>
      </c>
      <c r="C15" s="11">
        <f>C6*12-C14</f>
        <v/>
      </c>
    </row>
    <row r="17">
      <c r="A17" s="12" t="inlineStr">
        <is>
          <t>Month</t>
        </is>
      </c>
      <c r="B17" s="12" t="inlineStr">
        <is>
          <t>Date</t>
        </is>
      </c>
      <c r="C17" s="12" t="inlineStr">
        <is>
          <t>Opening balance</t>
        </is>
      </c>
      <c r="D17" s="12" t="inlineStr">
        <is>
          <t>EMI paid</t>
        </is>
      </c>
      <c r="E17" s="12" t="inlineStr">
        <is>
          <t>Interest</t>
        </is>
      </c>
      <c r="F17" s="12" t="inlineStr">
        <is>
          <t>Principal</t>
        </is>
      </c>
      <c r="G17" s="12" t="inlineStr">
        <is>
          <t>Extra payment</t>
        </is>
      </c>
      <c r="H17" s="12" t="inlineStr">
        <is>
          <t>Closing balance</t>
        </is>
      </c>
      <c r="I17" s="12" t="inlineStr">
        <is>
          <t>Year</t>
        </is>
      </c>
    </row>
    <row r="18">
      <c r="A18" s="13">
        <f>IF(C18&gt;0.005,1,"")</f>
        <v/>
      </c>
      <c r="B18" s="14">
        <f>IF(A18="","",EDATE($C$7,1-1))</f>
        <v/>
      </c>
      <c r="C18" s="15">
        <f>$C$4</f>
        <v/>
      </c>
      <c r="D18" s="15">
        <f>IF(C18&gt;0.005,IF(C18+E18-$C$10&lt;1,C18+E18,$C$10),0)</f>
        <v/>
      </c>
      <c r="E18" s="15">
        <f>IF(C18&gt;0.005,C18*$C$5/1200,0)</f>
        <v/>
      </c>
      <c r="F18" s="15">
        <f>IF(C18&gt;0.005,D18-E18,0)</f>
        <v/>
      </c>
      <c r="G18" s="15">
        <f>IF(C18&gt;0.005,MIN($C$8,C18-F18),0)</f>
        <v/>
      </c>
      <c r="H18" s="15">
        <f>IF(C18&gt;0.005,C18-F18-G18,0)</f>
        <v/>
      </c>
      <c r="I18" s="13">
        <f>IF(A18="","",INT((1-1)/12)+1)</f>
        <v/>
      </c>
    </row>
    <row r="19">
      <c r="A19" s="13">
        <f>IF(C19&gt;0.005,2,"")</f>
        <v/>
      </c>
      <c r="B19" s="14">
        <f>IF(A19="","",EDATE($C$7,2-1))</f>
        <v/>
      </c>
      <c r="C19" s="15">
        <f>H18</f>
        <v/>
      </c>
      <c r="D19" s="15">
        <f>IF(C19&gt;0.005,IF(C19+E19-$C$10&lt;1,C19+E19,$C$10),0)</f>
        <v/>
      </c>
      <c r="E19" s="15">
        <f>IF(C19&gt;0.005,C19*$C$5/1200,0)</f>
        <v/>
      </c>
      <c r="F19" s="15">
        <f>IF(C19&gt;0.005,D19-E19,0)</f>
        <v/>
      </c>
      <c r="G19" s="15">
        <f>IF(C19&gt;0.005,MIN($C$8,C19-F19),0)</f>
        <v/>
      </c>
      <c r="H19" s="15">
        <f>IF(C19&gt;0.005,C19-F19-G19,0)</f>
        <v/>
      </c>
      <c r="I19" s="13">
        <f>IF(A19="","",INT((2-1)/12)+1)</f>
        <v/>
      </c>
    </row>
    <row r="20">
      <c r="A20" s="13">
        <f>IF(C20&gt;0.005,3,"")</f>
        <v/>
      </c>
      <c r="B20" s="14">
        <f>IF(A20="","",EDATE($C$7,3-1))</f>
        <v/>
      </c>
      <c r="C20" s="15">
        <f>H19</f>
        <v/>
      </c>
      <c r="D20" s="15">
        <f>IF(C20&gt;0.005,IF(C20+E20-$C$10&lt;1,C20+E20,$C$10),0)</f>
        <v/>
      </c>
      <c r="E20" s="15">
        <f>IF(C20&gt;0.005,C20*$C$5/1200,0)</f>
        <v/>
      </c>
      <c r="F20" s="15">
        <f>IF(C20&gt;0.005,D20-E20,0)</f>
        <v/>
      </c>
      <c r="G20" s="15">
        <f>IF(C20&gt;0.005,MIN($C$8,C20-F20),0)</f>
        <v/>
      </c>
      <c r="H20" s="15">
        <f>IF(C20&gt;0.005,C20-F20-G20,0)</f>
        <v/>
      </c>
      <c r="I20" s="13">
        <f>IF(A20="","",INT((3-1)/12)+1)</f>
        <v/>
      </c>
    </row>
    <row r="21">
      <c r="A21" s="13">
        <f>IF(C21&gt;0.005,4,"")</f>
        <v/>
      </c>
      <c r="B21" s="14">
        <f>IF(A21="","",EDATE($C$7,4-1))</f>
        <v/>
      </c>
      <c r="C21" s="15">
        <f>H20</f>
        <v/>
      </c>
      <c r="D21" s="15">
        <f>IF(C21&gt;0.005,IF(C21+E21-$C$10&lt;1,C21+E21,$C$10),0)</f>
        <v/>
      </c>
      <c r="E21" s="15">
        <f>IF(C21&gt;0.005,C21*$C$5/1200,0)</f>
        <v/>
      </c>
      <c r="F21" s="15">
        <f>IF(C21&gt;0.005,D21-E21,0)</f>
        <v/>
      </c>
      <c r="G21" s="15">
        <f>IF(C21&gt;0.005,MIN($C$8,C21-F21),0)</f>
        <v/>
      </c>
      <c r="H21" s="15">
        <f>IF(C21&gt;0.005,C21-F21-G21,0)</f>
        <v/>
      </c>
      <c r="I21" s="13">
        <f>IF(A21="","",INT((4-1)/12)+1)</f>
        <v/>
      </c>
    </row>
    <row r="22">
      <c r="A22" s="13">
        <f>IF(C22&gt;0.005,5,"")</f>
        <v/>
      </c>
      <c r="B22" s="14">
        <f>IF(A22="","",EDATE($C$7,5-1))</f>
        <v/>
      </c>
      <c r="C22" s="15">
        <f>H21</f>
        <v/>
      </c>
      <c r="D22" s="15">
        <f>IF(C22&gt;0.005,IF(C22+E22-$C$10&lt;1,C22+E22,$C$10),0)</f>
        <v/>
      </c>
      <c r="E22" s="15">
        <f>IF(C22&gt;0.005,C22*$C$5/1200,0)</f>
        <v/>
      </c>
      <c r="F22" s="15">
        <f>IF(C22&gt;0.005,D22-E22,0)</f>
        <v/>
      </c>
      <c r="G22" s="15">
        <f>IF(C22&gt;0.005,MIN($C$8,C22-F22),0)</f>
        <v/>
      </c>
      <c r="H22" s="15">
        <f>IF(C22&gt;0.005,C22-F22-G22,0)</f>
        <v/>
      </c>
      <c r="I22" s="13">
        <f>IF(A22="","",INT((5-1)/12)+1)</f>
        <v/>
      </c>
    </row>
    <row r="23">
      <c r="A23" s="13">
        <f>IF(C23&gt;0.005,6,"")</f>
        <v/>
      </c>
      <c r="B23" s="14">
        <f>IF(A23="","",EDATE($C$7,6-1))</f>
        <v/>
      </c>
      <c r="C23" s="15">
        <f>H22</f>
        <v/>
      </c>
      <c r="D23" s="15">
        <f>IF(C23&gt;0.005,IF(C23+E23-$C$10&lt;1,C23+E23,$C$10),0)</f>
        <v/>
      </c>
      <c r="E23" s="15">
        <f>IF(C23&gt;0.005,C23*$C$5/1200,0)</f>
        <v/>
      </c>
      <c r="F23" s="15">
        <f>IF(C23&gt;0.005,D23-E23,0)</f>
        <v/>
      </c>
      <c r="G23" s="15">
        <f>IF(C23&gt;0.005,MIN($C$8,C23-F23),0)</f>
        <v/>
      </c>
      <c r="H23" s="15">
        <f>IF(C23&gt;0.005,C23-F23-G23,0)</f>
        <v/>
      </c>
      <c r="I23" s="13">
        <f>IF(A23="","",INT((6-1)/12)+1)</f>
        <v/>
      </c>
    </row>
    <row r="24">
      <c r="A24" s="13">
        <f>IF(C24&gt;0.005,7,"")</f>
        <v/>
      </c>
      <c r="B24" s="14">
        <f>IF(A24="","",EDATE($C$7,7-1))</f>
        <v/>
      </c>
      <c r="C24" s="15">
        <f>H23</f>
        <v/>
      </c>
      <c r="D24" s="15">
        <f>IF(C24&gt;0.005,IF(C24+E24-$C$10&lt;1,C24+E24,$C$10),0)</f>
        <v/>
      </c>
      <c r="E24" s="15">
        <f>IF(C24&gt;0.005,C24*$C$5/1200,0)</f>
        <v/>
      </c>
      <c r="F24" s="15">
        <f>IF(C24&gt;0.005,D24-E24,0)</f>
        <v/>
      </c>
      <c r="G24" s="15">
        <f>IF(C24&gt;0.005,MIN($C$8,C24-F24),0)</f>
        <v/>
      </c>
      <c r="H24" s="15">
        <f>IF(C24&gt;0.005,C24-F24-G24,0)</f>
        <v/>
      </c>
      <c r="I24" s="13">
        <f>IF(A24="","",INT((7-1)/12)+1)</f>
        <v/>
      </c>
    </row>
    <row r="25">
      <c r="A25" s="13">
        <f>IF(C25&gt;0.005,8,"")</f>
        <v/>
      </c>
      <c r="B25" s="14">
        <f>IF(A25="","",EDATE($C$7,8-1))</f>
        <v/>
      </c>
      <c r="C25" s="15">
        <f>H24</f>
        <v/>
      </c>
      <c r="D25" s="15">
        <f>IF(C25&gt;0.005,IF(C25+E25-$C$10&lt;1,C25+E25,$C$10),0)</f>
        <v/>
      </c>
      <c r="E25" s="15">
        <f>IF(C25&gt;0.005,C25*$C$5/1200,0)</f>
        <v/>
      </c>
      <c r="F25" s="15">
        <f>IF(C25&gt;0.005,D25-E25,0)</f>
        <v/>
      </c>
      <c r="G25" s="15">
        <f>IF(C25&gt;0.005,MIN($C$8,C25-F25),0)</f>
        <v/>
      </c>
      <c r="H25" s="15">
        <f>IF(C25&gt;0.005,C25-F25-G25,0)</f>
        <v/>
      </c>
      <c r="I25" s="13">
        <f>IF(A25="","",INT((8-1)/12)+1)</f>
        <v/>
      </c>
    </row>
    <row r="26">
      <c r="A26" s="13">
        <f>IF(C26&gt;0.005,9,"")</f>
        <v/>
      </c>
      <c r="B26" s="14">
        <f>IF(A26="","",EDATE($C$7,9-1))</f>
        <v/>
      </c>
      <c r="C26" s="15">
        <f>H25</f>
        <v/>
      </c>
      <c r="D26" s="15">
        <f>IF(C26&gt;0.005,IF(C26+E26-$C$10&lt;1,C26+E26,$C$10),0)</f>
        <v/>
      </c>
      <c r="E26" s="15">
        <f>IF(C26&gt;0.005,C26*$C$5/1200,0)</f>
        <v/>
      </c>
      <c r="F26" s="15">
        <f>IF(C26&gt;0.005,D26-E26,0)</f>
        <v/>
      </c>
      <c r="G26" s="15">
        <f>IF(C26&gt;0.005,MIN($C$8,C26-F26),0)</f>
        <v/>
      </c>
      <c r="H26" s="15">
        <f>IF(C26&gt;0.005,C26-F26-G26,0)</f>
        <v/>
      </c>
      <c r="I26" s="13">
        <f>IF(A26="","",INT((9-1)/12)+1)</f>
        <v/>
      </c>
    </row>
    <row r="27">
      <c r="A27" s="13">
        <f>IF(C27&gt;0.005,10,"")</f>
        <v/>
      </c>
      <c r="B27" s="14">
        <f>IF(A27="","",EDATE($C$7,10-1))</f>
        <v/>
      </c>
      <c r="C27" s="15">
        <f>H26</f>
        <v/>
      </c>
      <c r="D27" s="15">
        <f>IF(C27&gt;0.005,IF(C27+E27-$C$10&lt;1,C27+E27,$C$10),0)</f>
        <v/>
      </c>
      <c r="E27" s="15">
        <f>IF(C27&gt;0.005,C27*$C$5/1200,0)</f>
        <v/>
      </c>
      <c r="F27" s="15">
        <f>IF(C27&gt;0.005,D27-E27,0)</f>
        <v/>
      </c>
      <c r="G27" s="15">
        <f>IF(C27&gt;0.005,MIN($C$8,C27-F27),0)</f>
        <v/>
      </c>
      <c r="H27" s="15">
        <f>IF(C27&gt;0.005,C27-F27-G27,0)</f>
        <v/>
      </c>
      <c r="I27" s="13">
        <f>IF(A27="","",INT((10-1)/12)+1)</f>
        <v/>
      </c>
    </row>
    <row r="28">
      <c r="A28" s="13">
        <f>IF(C28&gt;0.005,11,"")</f>
        <v/>
      </c>
      <c r="B28" s="14">
        <f>IF(A28="","",EDATE($C$7,11-1))</f>
        <v/>
      </c>
      <c r="C28" s="15">
        <f>H27</f>
        <v/>
      </c>
      <c r="D28" s="15">
        <f>IF(C28&gt;0.005,IF(C28+E28-$C$10&lt;1,C28+E28,$C$10),0)</f>
        <v/>
      </c>
      <c r="E28" s="15">
        <f>IF(C28&gt;0.005,C28*$C$5/1200,0)</f>
        <v/>
      </c>
      <c r="F28" s="15">
        <f>IF(C28&gt;0.005,D28-E28,0)</f>
        <v/>
      </c>
      <c r="G28" s="15">
        <f>IF(C28&gt;0.005,MIN($C$8,C28-F28),0)</f>
        <v/>
      </c>
      <c r="H28" s="15">
        <f>IF(C28&gt;0.005,C28-F28-G28,0)</f>
        <v/>
      </c>
      <c r="I28" s="13">
        <f>IF(A28="","",INT((11-1)/12)+1)</f>
        <v/>
      </c>
    </row>
    <row r="29">
      <c r="A29" s="13">
        <f>IF(C29&gt;0.005,12,"")</f>
        <v/>
      </c>
      <c r="B29" s="14">
        <f>IF(A29="","",EDATE($C$7,12-1))</f>
        <v/>
      </c>
      <c r="C29" s="15">
        <f>H28</f>
        <v/>
      </c>
      <c r="D29" s="15">
        <f>IF(C29&gt;0.005,IF(C29+E29-$C$10&lt;1,C29+E29,$C$10),0)</f>
        <v/>
      </c>
      <c r="E29" s="15">
        <f>IF(C29&gt;0.005,C29*$C$5/1200,0)</f>
        <v/>
      </c>
      <c r="F29" s="15">
        <f>IF(C29&gt;0.005,D29-E29,0)</f>
        <v/>
      </c>
      <c r="G29" s="15">
        <f>IF(C29&gt;0.005,MIN($C$8,C29-F29),0)</f>
        <v/>
      </c>
      <c r="H29" s="15">
        <f>IF(C29&gt;0.005,C29-F29-G29,0)</f>
        <v/>
      </c>
      <c r="I29" s="13">
        <f>IF(A29="","",INT((12-1)/12)+1)</f>
        <v/>
      </c>
    </row>
    <row r="30">
      <c r="A30" s="13">
        <f>IF(C30&gt;0.005,13,"")</f>
        <v/>
      </c>
      <c r="B30" s="14">
        <f>IF(A30="","",EDATE($C$7,13-1))</f>
        <v/>
      </c>
      <c r="C30" s="15">
        <f>H29</f>
        <v/>
      </c>
      <c r="D30" s="15">
        <f>IF(C30&gt;0.005,IF(C30+E30-$C$10&lt;1,C30+E30,$C$10),0)</f>
        <v/>
      </c>
      <c r="E30" s="15">
        <f>IF(C30&gt;0.005,C30*$C$5/1200,0)</f>
        <v/>
      </c>
      <c r="F30" s="15">
        <f>IF(C30&gt;0.005,D30-E30,0)</f>
        <v/>
      </c>
      <c r="G30" s="15">
        <f>IF(C30&gt;0.005,MIN($C$8,C30-F30),0)</f>
        <v/>
      </c>
      <c r="H30" s="15">
        <f>IF(C30&gt;0.005,C30-F30-G30,0)</f>
        <v/>
      </c>
      <c r="I30" s="13">
        <f>IF(A30="","",INT((13-1)/12)+1)</f>
        <v/>
      </c>
    </row>
    <row r="31">
      <c r="A31" s="13">
        <f>IF(C31&gt;0.005,14,"")</f>
        <v/>
      </c>
      <c r="B31" s="14">
        <f>IF(A31="","",EDATE($C$7,14-1))</f>
        <v/>
      </c>
      <c r="C31" s="15">
        <f>H30</f>
        <v/>
      </c>
      <c r="D31" s="15">
        <f>IF(C31&gt;0.005,IF(C31+E31-$C$10&lt;1,C31+E31,$C$10),0)</f>
        <v/>
      </c>
      <c r="E31" s="15">
        <f>IF(C31&gt;0.005,C31*$C$5/1200,0)</f>
        <v/>
      </c>
      <c r="F31" s="15">
        <f>IF(C31&gt;0.005,D31-E31,0)</f>
        <v/>
      </c>
      <c r="G31" s="15">
        <f>IF(C31&gt;0.005,MIN($C$8,C31-F31),0)</f>
        <v/>
      </c>
      <c r="H31" s="15">
        <f>IF(C31&gt;0.005,C31-F31-G31,0)</f>
        <v/>
      </c>
      <c r="I31" s="13">
        <f>IF(A31="","",INT((14-1)/12)+1)</f>
        <v/>
      </c>
    </row>
    <row r="32">
      <c r="A32" s="13">
        <f>IF(C32&gt;0.005,15,"")</f>
        <v/>
      </c>
      <c r="B32" s="14">
        <f>IF(A32="","",EDATE($C$7,15-1))</f>
        <v/>
      </c>
      <c r="C32" s="15">
        <f>H31</f>
        <v/>
      </c>
      <c r="D32" s="15">
        <f>IF(C32&gt;0.005,IF(C32+E32-$C$10&lt;1,C32+E32,$C$10),0)</f>
        <v/>
      </c>
      <c r="E32" s="15">
        <f>IF(C32&gt;0.005,C32*$C$5/1200,0)</f>
        <v/>
      </c>
      <c r="F32" s="15">
        <f>IF(C32&gt;0.005,D32-E32,0)</f>
        <v/>
      </c>
      <c r="G32" s="15">
        <f>IF(C32&gt;0.005,MIN($C$8,C32-F32),0)</f>
        <v/>
      </c>
      <c r="H32" s="15">
        <f>IF(C32&gt;0.005,C32-F32-G32,0)</f>
        <v/>
      </c>
      <c r="I32" s="13">
        <f>IF(A32="","",INT((15-1)/12)+1)</f>
        <v/>
      </c>
    </row>
    <row r="33">
      <c r="A33" s="13">
        <f>IF(C33&gt;0.005,16,"")</f>
        <v/>
      </c>
      <c r="B33" s="14">
        <f>IF(A33="","",EDATE($C$7,16-1))</f>
        <v/>
      </c>
      <c r="C33" s="15">
        <f>H32</f>
        <v/>
      </c>
      <c r="D33" s="15">
        <f>IF(C33&gt;0.005,IF(C33+E33-$C$10&lt;1,C33+E33,$C$10),0)</f>
        <v/>
      </c>
      <c r="E33" s="15">
        <f>IF(C33&gt;0.005,C33*$C$5/1200,0)</f>
        <v/>
      </c>
      <c r="F33" s="15">
        <f>IF(C33&gt;0.005,D33-E33,0)</f>
        <v/>
      </c>
      <c r="G33" s="15">
        <f>IF(C33&gt;0.005,MIN($C$8,C33-F33),0)</f>
        <v/>
      </c>
      <c r="H33" s="15">
        <f>IF(C33&gt;0.005,C33-F33-G33,0)</f>
        <v/>
      </c>
      <c r="I33" s="13">
        <f>IF(A33="","",INT((16-1)/12)+1)</f>
        <v/>
      </c>
    </row>
    <row r="34">
      <c r="A34" s="13">
        <f>IF(C34&gt;0.005,17,"")</f>
        <v/>
      </c>
      <c r="B34" s="14">
        <f>IF(A34="","",EDATE($C$7,17-1))</f>
        <v/>
      </c>
      <c r="C34" s="15">
        <f>H33</f>
        <v/>
      </c>
      <c r="D34" s="15">
        <f>IF(C34&gt;0.005,IF(C34+E34-$C$10&lt;1,C34+E34,$C$10),0)</f>
        <v/>
      </c>
      <c r="E34" s="15">
        <f>IF(C34&gt;0.005,C34*$C$5/1200,0)</f>
        <v/>
      </c>
      <c r="F34" s="15">
        <f>IF(C34&gt;0.005,D34-E34,0)</f>
        <v/>
      </c>
      <c r="G34" s="15">
        <f>IF(C34&gt;0.005,MIN($C$8,C34-F34),0)</f>
        <v/>
      </c>
      <c r="H34" s="15">
        <f>IF(C34&gt;0.005,C34-F34-G34,0)</f>
        <v/>
      </c>
      <c r="I34" s="13">
        <f>IF(A34="","",INT((17-1)/12)+1)</f>
        <v/>
      </c>
    </row>
    <row r="35">
      <c r="A35" s="13">
        <f>IF(C35&gt;0.005,18,"")</f>
        <v/>
      </c>
      <c r="B35" s="14">
        <f>IF(A35="","",EDATE($C$7,18-1))</f>
        <v/>
      </c>
      <c r="C35" s="15">
        <f>H34</f>
        <v/>
      </c>
      <c r="D35" s="15">
        <f>IF(C35&gt;0.005,IF(C35+E35-$C$10&lt;1,C35+E35,$C$10),0)</f>
        <v/>
      </c>
      <c r="E35" s="15">
        <f>IF(C35&gt;0.005,C35*$C$5/1200,0)</f>
        <v/>
      </c>
      <c r="F35" s="15">
        <f>IF(C35&gt;0.005,D35-E35,0)</f>
        <v/>
      </c>
      <c r="G35" s="15">
        <f>IF(C35&gt;0.005,MIN($C$8,C35-F35),0)</f>
        <v/>
      </c>
      <c r="H35" s="15">
        <f>IF(C35&gt;0.005,C35-F35-G35,0)</f>
        <v/>
      </c>
      <c r="I35" s="13">
        <f>IF(A35="","",INT((18-1)/12)+1)</f>
        <v/>
      </c>
    </row>
    <row r="36">
      <c r="A36" s="13">
        <f>IF(C36&gt;0.005,19,"")</f>
        <v/>
      </c>
      <c r="B36" s="14">
        <f>IF(A36="","",EDATE($C$7,19-1))</f>
        <v/>
      </c>
      <c r="C36" s="15">
        <f>H35</f>
        <v/>
      </c>
      <c r="D36" s="15">
        <f>IF(C36&gt;0.005,IF(C36+E36-$C$10&lt;1,C36+E36,$C$10),0)</f>
        <v/>
      </c>
      <c r="E36" s="15">
        <f>IF(C36&gt;0.005,C36*$C$5/1200,0)</f>
        <v/>
      </c>
      <c r="F36" s="15">
        <f>IF(C36&gt;0.005,D36-E36,0)</f>
        <v/>
      </c>
      <c r="G36" s="15">
        <f>IF(C36&gt;0.005,MIN($C$8,C36-F36),0)</f>
        <v/>
      </c>
      <c r="H36" s="15">
        <f>IF(C36&gt;0.005,C36-F36-G36,0)</f>
        <v/>
      </c>
      <c r="I36" s="13">
        <f>IF(A36="","",INT((19-1)/12)+1)</f>
        <v/>
      </c>
    </row>
    <row r="37">
      <c r="A37" s="13">
        <f>IF(C37&gt;0.005,20,"")</f>
        <v/>
      </c>
      <c r="B37" s="14">
        <f>IF(A37="","",EDATE($C$7,20-1))</f>
        <v/>
      </c>
      <c r="C37" s="15">
        <f>H36</f>
        <v/>
      </c>
      <c r="D37" s="15">
        <f>IF(C37&gt;0.005,IF(C37+E37-$C$10&lt;1,C37+E37,$C$10),0)</f>
        <v/>
      </c>
      <c r="E37" s="15">
        <f>IF(C37&gt;0.005,C37*$C$5/1200,0)</f>
        <v/>
      </c>
      <c r="F37" s="15">
        <f>IF(C37&gt;0.005,D37-E37,0)</f>
        <v/>
      </c>
      <c r="G37" s="15">
        <f>IF(C37&gt;0.005,MIN($C$8,C37-F37),0)</f>
        <v/>
      </c>
      <c r="H37" s="15">
        <f>IF(C37&gt;0.005,C37-F37-G37,0)</f>
        <v/>
      </c>
      <c r="I37" s="13">
        <f>IF(A37="","",INT((20-1)/12)+1)</f>
        <v/>
      </c>
    </row>
    <row r="38">
      <c r="A38" s="13">
        <f>IF(C38&gt;0.005,21,"")</f>
        <v/>
      </c>
      <c r="B38" s="14">
        <f>IF(A38="","",EDATE($C$7,21-1))</f>
        <v/>
      </c>
      <c r="C38" s="15">
        <f>H37</f>
        <v/>
      </c>
      <c r="D38" s="15">
        <f>IF(C38&gt;0.005,IF(C38+E38-$C$10&lt;1,C38+E38,$C$10),0)</f>
        <v/>
      </c>
      <c r="E38" s="15">
        <f>IF(C38&gt;0.005,C38*$C$5/1200,0)</f>
        <v/>
      </c>
      <c r="F38" s="15">
        <f>IF(C38&gt;0.005,D38-E38,0)</f>
        <v/>
      </c>
      <c r="G38" s="15">
        <f>IF(C38&gt;0.005,MIN($C$8,C38-F38),0)</f>
        <v/>
      </c>
      <c r="H38" s="15">
        <f>IF(C38&gt;0.005,C38-F38-G38,0)</f>
        <v/>
      </c>
      <c r="I38" s="13">
        <f>IF(A38="","",INT((21-1)/12)+1)</f>
        <v/>
      </c>
    </row>
    <row r="39">
      <c r="A39" s="13">
        <f>IF(C39&gt;0.005,22,"")</f>
        <v/>
      </c>
      <c r="B39" s="14">
        <f>IF(A39="","",EDATE($C$7,22-1))</f>
        <v/>
      </c>
      <c r="C39" s="15">
        <f>H38</f>
        <v/>
      </c>
      <c r="D39" s="15">
        <f>IF(C39&gt;0.005,IF(C39+E39-$C$10&lt;1,C39+E39,$C$10),0)</f>
        <v/>
      </c>
      <c r="E39" s="15">
        <f>IF(C39&gt;0.005,C39*$C$5/1200,0)</f>
        <v/>
      </c>
      <c r="F39" s="15">
        <f>IF(C39&gt;0.005,D39-E39,0)</f>
        <v/>
      </c>
      <c r="G39" s="15">
        <f>IF(C39&gt;0.005,MIN($C$8,C39-F39),0)</f>
        <v/>
      </c>
      <c r="H39" s="15">
        <f>IF(C39&gt;0.005,C39-F39-G39,0)</f>
        <v/>
      </c>
      <c r="I39" s="13">
        <f>IF(A39="","",INT((22-1)/12)+1)</f>
        <v/>
      </c>
    </row>
    <row r="40">
      <c r="A40" s="13">
        <f>IF(C40&gt;0.005,23,"")</f>
        <v/>
      </c>
      <c r="B40" s="14">
        <f>IF(A40="","",EDATE($C$7,23-1))</f>
        <v/>
      </c>
      <c r="C40" s="15">
        <f>H39</f>
        <v/>
      </c>
      <c r="D40" s="15">
        <f>IF(C40&gt;0.005,IF(C40+E40-$C$10&lt;1,C40+E40,$C$10),0)</f>
        <v/>
      </c>
      <c r="E40" s="15">
        <f>IF(C40&gt;0.005,C40*$C$5/1200,0)</f>
        <v/>
      </c>
      <c r="F40" s="15">
        <f>IF(C40&gt;0.005,D40-E40,0)</f>
        <v/>
      </c>
      <c r="G40" s="15">
        <f>IF(C40&gt;0.005,MIN($C$8,C40-F40),0)</f>
        <v/>
      </c>
      <c r="H40" s="15">
        <f>IF(C40&gt;0.005,C40-F40-G40,0)</f>
        <v/>
      </c>
      <c r="I40" s="13">
        <f>IF(A40="","",INT((23-1)/12)+1)</f>
        <v/>
      </c>
    </row>
    <row r="41">
      <c r="A41" s="13">
        <f>IF(C41&gt;0.005,24,"")</f>
        <v/>
      </c>
      <c r="B41" s="14">
        <f>IF(A41="","",EDATE($C$7,24-1))</f>
        <v/>
      </c>
      <c r="C41" s="15">
        <f>H40</f>
        <v/>
      </c>
      <c r="D41" s="15">
        <f>IF(C41&gt;0.005,IF(C41+E41-$C$10&lt;1,C41+E41,$C$10),0)</f>
        <v/>
      </c>
      <c r="E41" s="15">
        <f>IF(C41&gt;0.005,C41*$C$5/1200,0)</f>
        <v/>
      </c>
      <c r="F41" s="15">
        <f>IF(C41&gt;0.005,D41-E41,0)</f>
        <v/>
      </c>
      <c r="G41" s="15">
        <f>IF(C41&gt;0.005,MIN($C$8,C41-F41),0)</f>
        <v/>
      </c>
      <c r="H41" s="15">
        <f>IF(C41&gt;0.005,C41-F41-G41,0)</f>
        <v/>
      </c>
      <c r="I41" s="13">
        <f>IF(A41="","",INT((24-1)/12)+1)</f>
        <v/>
      </c>
    </row>
    <row r="42">
      <c r="A42" s="13">
        <f>IF(C42&gt;0.005,25,"")</f>
        <v/>
      </c>
      <c r="B42" s="14">
        <f>IF(A42="","",EDATE($C$7,25-1))</f>
        <v/>
      </c>
      <c r="C42" s="15">
        <f>H41</f>
        <v/>
      </c>
      <c r="D42" s="15">
        <f>IF(C42&gt;0.005,IF(C42+E42-$C$10&lt;1,C42+E42,$C$10),0)</f>
        <v/>
      </c>
      <c r="E42" s="15">
        <f>IF(C42&gt;0.005,C42*$C$5/1200,0)</f>
        <v/>
      </c>
      <c r="F42" s="15">
        <f>IF(C42&gt;0.005,D42-E42,0)</f>
        <v/>
      </c>
      <c r="G42" s="15">
        <f>IF(C42&gt;0.005,MIN($C$8,C42-F42),0)</f>
        <v/>
      </c>
      <c r="H42" s="15">
        <f>IF(C42&gt;0.005,C42-F42-G42,0)</f>
        <v/>
      </c>
      <c r="I42" s="13">
        <f>IF(A42="","",INT((25-1)/12)+1)</f>
        <v/>
      </c>
    </row>
    <row r="43">
      <c r="A43" s="13">
        <f>IF(C43&gt;0.005,26,"")</f>
        <v/>
      </c>
      <c r="B43" s="14">
        <f>IF(A43="","",EDATE($C$7,26-1))</f>
        <v/>
      </c>
      <c r="C43" s="15">
        <f>H42</f>
        <v/>
      </c>
      <c r="D43" s="15">
        <f>IF(C43&gt;0.005,IF(C43+E43-$C$10&lt;1,C43+E43,$C$10),0)</f>
        <v/>
      </c>
      <c r="E43" s="15">
        <f>IF(C43&gt;0.005,C43*$C$5/1200,0)</f>
        <v/>
      </c>
      <c r="F43" s="15">
        <f>IF(C43&gt;0.005,D43-E43,0)</f>
        <v/>
      </c>
      <c r="G43" s="15">
        <f>IF(C43&gt;0.005,MIN($C$8,C43-F43),0)</f>
        <v/>
      </c>
      <c r="H43" s="15">
        <f>IF(C43&gt;0.005,C43-F43-G43,0)</f>
        <v/>
      </c>
      <c r="I43" s="13">
        <f>IF(A43="","",INT((26-1)/12)+1)</f>
        <v/>
      </c>
    </row>
    <row r="44">
      <c r="A44" s="13">
        <f>IF(C44&gt;0.005,27,"")</f>
        <v/>
      </c>
      <c r="B44" s="14">
        <f>IF(A44="","",EDATE($C$7,27-1))</f>
        <v/>
      </c>
      <c r="C44" s="15">
        <f>H43</f>
        <v/>
      </c>
      <c r="D44" s="15">
        <f>IF(C44&gt;0.005,IF(C44+E44-$C$10&lt;1,C44+E44,$C$10),0)</f>
        <v/>
      </c>
      <c r="E44" s="15">
        <f>IF(C44&gt;0.005,C44*$C$5/1200,0)</f>
        <v/>
      </c>
      <c r="F44" s="15">
        <f>IF(C44&gt;0.005,D44-E44,0)</f>
        <v/>
      </c>
      <c r="G44" s="15">
        <f>IF(C44&gt;0.005,MIN($C$8,C44-F44),0)</f>
        <v/>
      </c>
      <c r="H44" s="15">
        <f>IF(C44&gt;0.005,C44-F44-G44,0)</f>
        <v/>
      </c>
      <c r="I44" s="13">
        <f>IF(A44="","",INT((27-1)/12)+1)</f>
        <v/>
      </c>
    </row>
    <row r="45">
      <c r="A45" s="13">
        <f>IF(C45&gt;0.005,28,"")</f>
        <v/>
      </c>
      <c r="B45" s="14">
        <f>IF(A45="","",EDATE($C$7,28-1))</f>
        <v/>
      </c>
      <c r="C45" s="15">
        <f>H44</f>
        <v/>
      </c>
      <c r="D45" s="15">
        <f>IF(C45&gt;0.005,IF(C45+E45-$C$10&lt;1,C45+E45,$C$10),0)</f>
        <v/>
      </c>
      <c r="E45" s="15">
        <f>IF(C45&gt;0.005,C45*$C$5/1200,0)</f>
        <v/>
      </c>
      <c r="F45" s="15">
        <f>IF(C45&gt;0.005,D45-E45,0)</f>
        <v/>
      </c>
      <c r="G45" s="15">
        <f>IF(C45&gt;0.005,MIN($C$8,C45-F45),0)</f>
        <v/>
      </c>
      <c r="H45" s="15">
        <f>IF(C45&gt;0.005,C45-F45-G45,0)</f>
        <v/>
      </c>
      <c r="I45" s="13">
        <f>IF(A45="","",INT((28-1)/12)+1)</f>
        <v/>
      </c>
    </row>
    <row r="46">
      <c r="A46" s="13">
        <f>IF(C46&gt;0.005,29,"")</f>
        <v/>
      </c>
      <c r="B46" s="14">
        <f>IF(A46="","",EDATE($C$7,29-1))</f>
        <v/>
      </c>
      <c r="C46" s="15">
        <f>H45</f>
        <v/>
      </c>
      <c r="D46" s="15">
        <f>IF(C46&gt;0.005,IF(C46+E46-$C$10&lt;1,C46+E46,$C$10),0)</f>
        <v/>
      </c>
      <c r="E46" s="15">
        <f>IF(C46&gt;0.005,C46*$C$5/1200,0)</f>
        <v/>
      </c>
      <c r="F46" s="15">
        <f>IF(C46&gt;0.005,D46-E46,0)</f>
        <v/>
      </c>
      <c r="G46" s="15">
        <f>IF(C46&gt;0.005,MIN($C$8,C46-F46),0)</f>
        <v/>
      </c>
      <c r="H46" s="15">
        <f>IF(C46&gt;0.005,C46-F46-G46,0)</f>
        <v/>
      </c>
      <c r="I46" s="13">
        <f>IF(A46="","",INT((29-1)/12)+1)</f>
        <v/>
      </c>
    </row>
    <row r="47">
      <c r="A47" s="13">
        <f>IF(C47&gt;0.005,30,"")</f>
        <v/>
      </c>
      <c r="B47" s="14">
        <f>IF(A47="","",EDATE($C$7,30-1))</f>
        <v/>
      </c>
      <c r="C47" s="15">
        <f>H46</f>
        <v/>
      </c>
      <c r="D47" s="15">
        <f>IF(C47&gt;0.005,IF(C47+E47-$C$10&lt;1,C47+E47,$C$10),0)</f>
        <v/>
      </c>
      <c r="E47" s="15">
        <f>IF(C47&gt;0.005,C47*$C$5/1200,0)</f>
        <v/>
      </c>
      <c r="F47" s="15">
        <f>IF(C47&gt;0.005,D47-E47,0)</f>
        <v/>
      </c>
      <c r="G47" s="15">
        <f>IF(C47&gt;0.005,MIN($C$8,C47-F47),0)</f>
        <v/>
      </c>
      <c r="H47" s="15">
        <f>IF(C47&gt;0.005,C47-F47-G47,0)</f>
        <v/>
      </c>
      <c r="I47" s="13">
        <f>IF(A47="","",INT((30-1)/12)+1)</f>
        <v/>
      </c>
    </row>
    <row r="48">
      <c r="A48" s="13">
        <f>IF(C48&gt;0.005,31,"")</f>
        <v/>
      </c>
      <c r="B48" s="14">
        <f>IF(A48="","",EDATE($C$7,31-1))</f>
        <v/>
      </c>
      <c r="C48" s="15">
        <f>H47</f>
        <v/>
      </c>
      <c r="D48" s="15">
        <f>IF(C48&gt;0.005,IF(C48+E48-$C$10&lt;1,C48+E48,$C$10),0)</f>
        <v/>
      </c>
      <c r="E48" s="15">
        <f>IF(C48&gt;0.005,C48*$C$5/1200,0)</f>
        <v/>
      </c>
      <c r="F48" s="15">
        <f>IF(C48&gt;0.005,D48-E48,0)</f>
        <v/>
      </c>
      <c r="G48" s="15">
        <f>IF(C48&gt;0.005,MIN($C$8,C48-F48),0)</f>
        <v/>
      </c>
      <c r="H48" s="15">
        <f>IF(C48&gt;0.005,C48-F48-G48,0)</f>
        <v/>
      </c>
      <c r="I48" s="13">
        <f>IF(A48="","",INT((31-1)/12)+1)</f>
        <v/>
      </c>
    </row>
    <row r="49">
      <c r="A49" s="13">
        <f>IF(C49&gt;0.005,32,"")</f>
        <v/>
      </c>
      <c r="B49" s="14">
        <f>IF(A49="","",EDATE($C$7,32-1))</f>
        <v/>
      </c>
      <c r="C49" s="15">
        <f>H48</f>
        <v/>
      </c>
      <c r="D49" s="15">
        <f>IF(C49&gt;0.005,IF(C49+E49-$C$10&lt;1,C49+E49,$C$10),0)</f>
        <v/>
      </c>
      <c r="E49" s="15">
        <f>IF(C49&gt;0.005,C49*$C$5/1200,0)</f>
        <v/>
      </c>
      <c r="F49" s="15">
        <f>IF(C49&gt;0.005,D49-E49,0)</f>
        <v/>
      </c>
      <c r="G49" s="15">
        <f>IF(C49&gt;0.005,MIN($C$8,C49-F49),0)</f>
        <v/>
      </c>
      <c r="H49" s="15">
        <f>IF(C49&gt;0.005,C49-F49-G49,0)</f>
        <v/>
      </c>
      <c r="I49" s="13">
        <f>IF(A49="","",INT((32-1)/12)+1)</f>
        <v/>
      </c>
    </row>
    <row r="50">
      <c r="A50" s="13">
        <f>IF(C50&gt;0.005,33,"")</f>
        <v/>
      </c>
      <c r="B50" s="14">
        <f>IF(A50="","",EDATE($C$7,33-1))</f>
        <v/>
      </c>
      <c r="C50" s="15">
        <f>H49</f>
        <v/>
      </c>
      <c r="D50" s="15">
        <f>IF(C50&gt;0.005,IF(C50+E50-$C$10&lt;1,C50+E50,$C$10),0)</f>
        <v/>
      </c>
      <c r="E50" s="15">
        <f>IF(C50&gt;0.005,C50*$C$5/1200,0)</f>
        <v/>
      </c>
      <c r="F50" s="15">
        <f>IF(C50&gt;0.005,D50-E50,0)</f>
        <v/>
      </c>
      <c r="G50" s="15">
        <f>IF(C50&gt;0.005,MIN($C$8,C50-F50),0)</f>
        <v/>
      </c>
      <c r="H50" s="15">
        <f>IF(C50&gt;0.005,C50-F50-G50,0)</f>
        <v/>
      </c>
      <c r="I50" s="13">
        <f>IF(A50="","",INT((33-1)/12)+1)</f>
        <v/>
      </c>
    </row>
    <row r="51">
      <c r="A51" s="13">
        <f>IF(C51&gt;0.005,34,"")</f>
        <v/>
      </c>
      <c r="B51" s="14">
        <f>IF(A51="","",EDATE($C$7,34-1))</f>
        <v/>
      </c>
      <c r="C51" s="15">
        <f>H50</f>
        <v/>
      </c>
      <c r="D51" s="15">
        <f>IF(C51&gt;0.005,IF(C51+E51-$C$10&lt;1,C51+E51,$C$10),0)</f>
        <v/>
      </c>
      <c r="E51" s="15">
        <f>IF(C51&gt;0.005,C51*$C$5/1200,0)</f>
        <v/>
      </c>
      <c r="F51" s="15">
        <f>IF(C51&gt;0.005,D51-E51,0)</f>
        <v/>
      </c>
      <c r="G51" s="15">
        <f>IF(C51&gt;0.005,MIN($C$8,C51-F51),0)</f>
        <v/>
      </c>
      <c r="H51" s="15">
        <f>IF(C51&gt;0.005,C51-F51-G51,0)</f>
        <v/>
      </c>
      <c r="I51" s="13">
        <f>IF(A51="","",INT((34-1)/12)+1)</f>
        <v/>
      </c>
    </row>
    <row r="52">
      <c r="A52" s="13">
        <f>IF(C52&gt;0.005,35,"")</f>
        <v/>
      </c>
      <c r="B52" s="14">
        <f>IF(A52="","",EDATE($C$7,35-1))</f>
        <v/>
      </c>
      <c r="C52" s="15">
        <f>H51</f>
        <v/>
      </c>
      <c r="D52" s="15">
        <f>IF(C52&gt;0.005,IF(C52+E52-$C$10&lt;1,C52+E52,$C$10),0)</f>
        <v/>
      </c>
      <c r="E52" s="15">
        <f>IF(C52&gt;0.005,C52*$C$5/1200,0)</f>
        <v/>
      </c>
      <c r="F52" s="15">
        <f>IF(C52&gt;0.005,D52-E52,0)</f>
        <v/>
      </c>
      <c r="G52" s="15">
        <f>IF(C52&gt;0.005,MIN($C$8,C52-F52),0)</f>
        <v/>
      </c>
      <c r="H52" s="15">
        <f>IF(C52&gt;0.005,C52-F52-G52,0)</f>
        <v/>
      </c>
      <c r="I52" s="13">
        <f>IF(A52="","",INT((35-1)/12)+1)</f>
        <v/>
      </c>
    </row>
    <row r="53">
      <c r="A53" s="13">
        <f>IF(C53&gt;0.005,36,"")</f>
        <v/>
      </c>
      <c r="B53" s="14">
        <f>IF(A53="","",EDATE($C$7,36-1))</f>
        <v/>
      </c>
      <c r="C53" s="15">
        <f>H52</f>
        <v/>
      </c>
      <c r="D53" s="15">
        <f>IF(C53&gt;0.005,IF(C53+E53-$C$10&lt;1,C53+E53,$C$10),0)</f>
        <v/>
      </c>
      <c r="E53" s="15">
        <f>IF(C53&gt;0.005,C53*$C$5/1200,0)</f>
        <v/>
      </c>
      <c r="F53" s="15">
        <f>IF(C53&gt;0.005,D53-E53,0)</f>
        <v/>
      </c>
      <c r="G53" s="15">
        <f>IF(C53&gt;0.005,MIN($C$8,C53-F53),0)</f>
        <v/>
      </c>
      <c r="H53" s="15">
        <f>IF(C53&gt;0.005,C53-F53-G53,0)</f>
        <v/>
      </c>
      <c r="I53" s="13">
        <f>IF(A53="","",INT((36-1)/12)+1)</f>
        <v/>
      </c>
    </row>
    <row r="54">
      <c r="A54" s="13">
        <f>IF(C54&gt;0.005,37,"")</f>
        <v/>
      </c>
      <c r="B54" s="14">
        <f>IF(A54="","",EDATE($C$7,37-1))</f>
        <v/>
      </c>
      <c r="C54" s="15">
        <f>H53</f>
        <v/>
      </c>
      <c r="D54" s="15">
        <f>IF(C54&gt;0.005,IF(C54+E54-$C$10&lt;1,C54+E54,$C$10),0)</f>
        <v/>
      </c>
      <c r="E54" s="15">
        <f>IF(C54&gt;0.005,C54*$C$5/1200,0)</f>
        <v/>
      </c>
      <c r="F54" s="15">
        <f>IF(C54&gt;0.005,D54-E54,0)</f>
        <v/>
      </c>
      <c r="G54" s="15">
        <f>IF(C54&gt;0.005,MIN($C$8,C54-F54),0)</f>
        <v/>
      </c>
      <c r="H54" s="15">
        <f>IF(C54&gt;0.005,C54-F54-G54,0)</f>
        <v/>
      </c>
      <c r="I54" s="13">
        <f>IF(A54="","",INT((37-1)/12)+1)</f>
        <v/>
      </c>
    </row>
    <row r="55">
      <c r="A55" s="13">
        <f>IF(C55&gt;0.005,38,"")</f>
        <v/>
      </c>
      <c r="B55" s="14">
        <f>IF(A55="","",EDATE($C$7,38-1))</f>
        <v/>
      </c>
      <c r="C55" s="15">
        <f>H54</f>
        <v/>
      </c>
      <c r="D55" s="15">
        <f>IF(C55&gt;0.005,IF(C55+E55-$C$10&lt;1,C55+E55,$C$10),0)</f>
        <v/>
      </c>
      <c r="E55" s="15">
        <f>IF(C55&gt;0.005,C55*$C$5/1200,0)</f>
        <v/>
      </c>
      <c r="F55" s="15">
        <f>IF(C55&gt;0.005,D55-E55,0)</f>
        <v/>
      </c>
      <c r="G55" s="15">
        <f>IF(C55&gt;0.005,MIN($C$8,C55-F55),0)</f>
        <v/>
      </c>
      <c r="H55" s="15">
        <f>IF(C55&gt;0.005,C55-F55-G55,0)</f>
        <v/>
      </c>
      <c r="I55" s="13">
        <f>IF(A55="","",INT((38-1)/12)+1)</f>
        <v/>
      </c>
    </row>
    <row r="56">
      <c r="A56" s="13">
        <f>IF(C56&gt;0.005,39,"")</f>
        <v/>
      </c>
      <c r="B56" s="14">
        <f>IF(A56="","",EDATE($C$7,39-1))</f>
        <v/>
      </c>
      <c r="C56" s="15">
        <f>H55</f>
        <v/>
      </c>
      <c r="D56" s="15">
        <f>IF(C56&gt;0.005,IF(C56+E56-$C$10&lt;1,C56+E56,$C$10),0)</f>
        <v/>
      </c>
      <c r="E56" s="15">
        <f>IF(C56&gt;0.005,C56*$C$5/1200,0)</f>
        <v/>
      </c>
      <c r="F56" s="15">
        <f>IF(C56&gt;0.005,D56-E56,0)</f>
        <v/>
      </c>
      <c r="G56" s="15">
        <f>IF(C56&gt;0.005,MIN($C$8,C56-F56),0)</f>
        <v/>
      </c>
      <c r="H56" s="15">
        <f>IF(C56&gt;0.005,C56-F56-G56,0)</f>
        <v/>
      </c>
      <c r="I56" s="13">
        <f>IF(A56="","",INT((39-1)/12)+1)</f>
        <v/>
      </c>
    </row>
    <row r="57">
      <c r="A57" s="13">
        <f>IF(C57&gt;0.005,40,"")</f>
        <v/>
      </c>
      <c r="B57" s="14">
        <f>IF(A57="","",EDATE($C$7,40-1))</f>
        <v/>
      </c>
      <c r="C57" s="15">
        <f>H56</f>
        <v/>
      </c>
      <c r="D57" s="15">
        <f>IF(C57&gt;0.005,IF(C57+E57-$C$10&lt;1,C57+E57,$C$10),0)</f>
        <v/>
      </c>
      <c r="E57" s="15">
        <f>IF(C57&gt;0.005,C57*$C$5/1200,0)</f>
        <v/>
      </c>
      <c r="F57" s="15">
        <f>IF(C57&gt;0.005,D57-E57,0)</f>
        <v/>
      </c>
      <c r="G57" s="15">
        <f>IF(C57&gt;0.005,MIN($C$8,C57-F57),0)</f>
        <v/>
      </c>
      <c r="H57" s="15">
        <f>IF(C57&gt;0.005,C57-F57-G57,0)</f>
        <v/>
      </c>
      <c r="I57" s="13">
        <f>IF(A57="","",INT((40-1)/12)+1)</f>
        <v/>
      </c>
    </row>
    <row r="58">
      <c r="A58" s="13">
        <f>IF(C58&gt;0.005,41,"")</f>
        <v/>
      </c>
      <c r="B58" s="14">
        <f>IF(A58="","",EDATE($C$7,41-1))</f>
        <v/>
      </c>
      <c r="C58" s="15">
        <f>H57</f>
        <v/>
      </c>
      <c r="D58" s="15">
        <f>IF(C58&gt;0.005,IF(C58+E58-$C$10&lt;1,C58+E58,$C$10),0)</f>
        <v/>
      </c>
      <c r="E58" s="15">
        <f>IF(C58&gt;0.005,C58*$C$5/1200,0)</f>
        <v/>
      </c>
      <c r="F58" s="15">
        <f>IF(C58&gt;0.005,D58-E58,0)</f>
        <v/>
      </c>
      <c r="G58" s="15">
        <f>IF(C58&gt;0.005,MIN($C$8,C58-F58),0)</f>
        <v/>
      </c>
      <c r="H58" s="15">
        <f>IF(C58&gt;0.005,C58-F58-G58,0)</f>
        <v/>
      </c>
      <c r="I58" s="13">
        <f>IF(A58="","",INT((41-1)/12)+1)</f>
        <v/>
      </c>
    </row>
    <row r="59">
      <c r="A59" s="13">
        <f>IF(C59&gt;0.005,42,"")</f>
        <v/>
      </c>
      <c r="B59" s="14">
        <f>IF(A59="","",EDATE($C$7,42-1))</f>
        <v/>
      </c>
      <c r="C59" s="15">
        <f>H58</f>
        <v/>
      </c>
      <c r="D59" s="15">
        <f>IF(C59&gt;0.005,IF(C59+E59-$C$10&lt;1,C59+E59,$C$10),0)</f>
        <v/>
      </c>
      <c r="E59" s="15">
        <f>IF(C59&gt;0.005,C59*$C$5/1200,0)</f>
        <v/>
      </c>
      <c r="F59" s="15">
        <f>IF(C59&gt;0.005,D59-E59,0)</f>
        <v/>
      </c>
      <c r="G59" s="15">
        <f>IF(C59&gt;0.005,MIN($C$8,C59-F59),0)</f>
        <v/>
      </c>
      <c r="H59" s="15">
        <f>IF(C59&gt;0.005,C59-F59-G59,0)</f>
        <v/>
      </c>
      <c r="I59" s="13">
        <f>IF(A59="","",INT((42-1)/12)+1)</f>
        <v/>
      </c>
    </row>
    <row r="60">
      <c r="A60" s="13">
        <f>IF(C60&gt;0.005,43,"")</f>
        <v/>
      </c>
      <c r="B60" s="14">
        <f>IF(A60="","",EDATE($C$7,43-1))</f>
        <v/>
      </c>
      <c r="C60" s="15">
        <f>H59</f>
        <v/>
      </c>
      <c r="D60" s="15">
        <f>IF(C60&gt;0.005,IF(C60+E60-$C$10&lt;1,C60+E60,$C$10),0)</f>
        <v/>
      </c>
      <c r="E60" s="15">
        <f>IF(C60&gt;0.005,C60*$C$5/1200,0)</f>
        <v/>
      </c>
      <c r="F60" s="15">
        <f>IF(C60&gt;0.005,D60-E60,0)</f>
        <v/>
      </c>
      <c r="G60" s="15">
        <f>IF(C60&gt;0.005,MIN($C$8,C60-F60),0)</f>
        <v/>
      </c>
      <c r="H60" s="15">
        <f>IF(C60&gt;0.005,C60-F60-G60,0)</f>
        <v/>
      </c>
      <c r="I60" s="13">
        <f>IF(A60="","",INT((43-1)/12)+1)</f>
        <v/>
      </c>
    </row>
    <row r="61">
      <c r="A61" s="13">
        <f>IF(C61&gt;0.005,44,"")</f>
        <v/>
      </c>
      <c r="B61" s="14">
        <f>IF(A61="","",EDATE($C$7,44-1))</f>
        <v/>
      </c>
      <c r="C61" s="15">
        <f>H60</f>
        <v/>
      </c>
      <c r="D61" s="15">
        <f>IF(C61&gt;0.005,IF(C61+E61-$C$10&lt;1,C61+E61,$C$10),0)</f>
        <v/>
      </c>
      <c r="E61" s="15">
        <f>IF(C61&gt;0.005,C61*$C$5/1200,0)</f>
        <v/>
      </c>
      <c r="F61" s="15">
        <f>IF(C61&gt;0.005,D61-E61,0)</f>
        <v/>
      </c>
      <c r="G61" s="15">
        <f>IF(C61&gt;0.005,MIN($C$8,C61-F61),0)</f>
        <v/>
      </c>
      <c r="H61" s="15">
        <f>IF(C61&gt;0.005,C61-F61-G61,0)</f>
        <v/>
      </c>
      <c r="I61" s="13">
        <f>IF(A61="","",INT((44-1)/12)+1)</f>
        <v/>
      </c>
    </row>
    <row r="62">
      <c r="A62" s="13">
        <f>IF(C62&gt;0.005,45,"")</f>
        <v/>
      </c>
      <c r="B62" s="14">
        <f>IF(A62="","",EDATE($C$7,45-1))</f>
        <v/>
      </c>
      <c r="C62" s="15">
        <f>H61</f>
        <v/>
      </c>
      <c r="D62" s="15">
        <f>IF(C62&gt;0.005,IF(C62+E62-$C$10&lt;1,C62+E62,$C$10),0)</f>
        <v/>
      </c>
      <c r="E62" s="15">
        <f>IF(C62&gt;0.005,C62*$C$5/1200,0)</f>
        <v/>
      </c>
      <c r="F62" s="15">
        <f>IF(C62&gt;0.005,D62-E62,0)</f>
        <v/>
      </c>
      <c r="G62" s="15">
        <f>IF(C62&gt;0.005,MIN($C$8,C62-F62),0)</f>
        <v/>
      </c>
      <c r="H62" s="15">
        <f>IF(C62&gt;0.005,C62-F62-G62,0)</f>
        <v/>
      </c>
      <c r="I62" s="13">
        <f>IF(A62="","",INT((45-1)/12)+1)</f>
        <v/>
      </c>
    </row>
    <row r="63">
      <c r="A63" s="13">
        <f>IF(C63&gt;0.005,46,"")</f>
        <v/>
      </c>
      <c r="B63" s="14">
        <f>IF(A63="","",EDATE($C$7,46-1))</f>
        <v/>
      </c>
      <c r="C63" s="15">
        <f>H62</f>
        <v/>
      </c>
      <c r="D63" s="15">
        <f>IF(C63&gt;0.005,IF(C63+E63-$C$10&lt;1,C63+E63,$C$10),0)</f>
        <v/>
      </c>
      <c r="E63" s="15">
        <f>IF(C63&gt;0.005,C63*$C$5/1200,0)</f>
        <v/>
      </c>
      <c r="F63" s="15">
        <f>IF(C63&gt;0.005,D63-E63,0)</f>
        <v/>
      </c>
      <c r="G63" s="15">
        <f>IF(C63&gt;0.005,MIN($C$8,C63-F63),0)</f>
        <v/>
      </c>
      <c r="H63" s="15">
        <f>IF(C63&gt;0.005,C63-F63-G63,0)</f>
        <v/>
      </c>
      <c r="I63" s="13">
        <f>IF(A63="","",INT((46-1)/12)+1)</f>
        <v/>
      </c>
    </row>
    <row r="64">
      <c r="A64" s="13">
        <f>IF(C64&gt;0.005,47,"")</f>
        <v/>
      </c>
      <c r="B64" s="14">
        <f>IF(A64="","",EDATE($C$7,47-1))</f>
        <v/>
      </c>
      <c r="C64" s="15">
        <f>H63</f>
        <v/>
      </c>
      <c r="D64" s="15">
        <f>IF(C64&gt;0.005,IF(C64+E64-$C$10&lt;1,C64+E64,$C$10),0)</f>
        <v/>
      </c>
      <c r="E64" s="15">
        <f>IF(C64&gt;0.005,C64*$C$5/1200,0)</f>
        <v/>
      </c>
      <c r="F64" s="15">
        <f>IF(C64&gt;0.005,D64-E64,0)</f>
        <v/>
      </c>
      <c r="G64" s="15">
        <f>IF(C64&gt;0.005,MIN($C$8,C64-F64),0)</f>
        <v/>
      </c>
      <c r="H64" s="15">
        <f>IF(C64&gt;0.005,C64-F64-G64,0)</f>
        <v/>
      </c>
      <c r="I64" s="13">
        <f>IF(A64="","",INT((47-1)/12)+1)</f>
        <v/>
      </c>
    </row>
    <row r="65">
      <c r="A65" s="13">
        <f>IF(C65&gt;0.005,48,"")</f>
        <v/>
      </c>
      <c r="B65" s="14">
        <f>IF(A65="","",EDATE($C$7,48-1))</f>
        <v/>
      </c>
      <c r="C65" s="15">
        <f>H64</f>
        <v/>
      </c>
      <c r="D65" s="15">
        <f>IF(C65&gt;0.005,IF(C65+E65-$C$10&lt;1,C65+E65,$C$10),0)</f>
        <v/>
      </c>
      <c r="E65" s="15">
        <f>IF(C65&gt;0.005,C65*$C$5/1200,0)</f>
        <v/>
      </c>
      <c r="F65" s="15">
        <f>IF(C65&gt;0.005,D65-E65,0)</f>
        <v/>
      </c>
      <c r="G65" s="15">
        <f>IF(C65&gt;0.005,MIN($C$8,C65-F65),0)</f>
        <v/>
      </c>
      <c r="H65" s="15">
        <f>IF(C65&gt;0.005,C65-F65-G65,0)</f>
        <v/>
      </c>
      <c r="I65" s="13">
        <f>IF(A65="","",INT((48-1)/12)+1)</f>
        <v/>
      </c>
    </row>
    <row r="66">
      <c r="A66" s="13">
        <f>IF(C66&gt;0.005,49,"")</f>
        <v/>
      </c>
      <c r="B66" s="14">
        <f>IF(A66="","",EDATE($C$7,49-1))</f>
        <v/>
      </c>
      <c r="C66" s="15">
        <f>H65</f>
        <v/>
      </c>
      <c r="D66" s="15">
        <f>IF(C66&gt;0.005,IF(C66+E66-$C$10&lt;1,C66+E66,$C$10),0)</f>
        <v/>
      </c>
      <c r="E66" s="15">
        <f>IF(C66&gt;0.005,C66*$C$5/1200,0)</f>
        <v/>
      </c>
      <c r="F66" s="15">
        <f>IF(C66&gt;0.005,D66-E66,0)</f>
        <v/>
      </c>
      <c r="G66" s="15">
        <f>IF(C66&gt;0.005,MIN($C$8,C66-F66),0)</f>
        <v/>
      </c>
      <c r="H66" s="15">
        <f>IF(C66&gt;0.005,C66-F66-G66,0)</f>
        <v/>
      </c>
      <c r="I66" s="13">
        <f>IF(A66="","",INT((49-1)/12)+1)</f>
        <v/>
      </c>
    </row>
    <row r="67">
      <c r="A67" s="13">
        <f>IF(C67&gt;0.005,50,"")</f>
        <v/>
      </c>
      <c r="B67" s="14">
        <f>IF(A67="","",EDATE($C$7,50-1))</f>
        <v/>
      </c>
      <c r="C67" s="15">
        <f>H66</f>
        <v/>
      </c>
      <c r="D67" s="15">
        <f>IF(C67&gt;0.005,IF(C67+E67-$C$10&lt;1,C67+E67,$C$10),0)</f>
        <v/>
      </c>
      <c r="E67" s="15">
        <f>IF(C67&gt;0.005,C67*$C$5/1200,0)</f>
        <v/>
      </c>
      <c r="F67" s="15">
        <f>IF(C67&gt;0.005,D67-E67,0)</f>
        <v/>
      </c>
      <c r="G67" s="15">
        <f>IF(C67&gt;0.005,MIN($C$8,C67-F67),0)</f>
        <v/>
      </c>
      <c r="H67" s="15">
        <f>IF(C67&gt;0.005,C67-F67-G67,0)</f>
        <v/>
      </c>
      <c r="I67" s="13">
        <f>IF(A67="","",INT((50-1)/12)+1)</f>
        <v/>
      </c>
    </row>
    <row r="68">
      <c r="A68" s="13">
        <f>IF(C68&gt;0.005,51,"")</f>
        <v/>
      </c>
      <c r="B68" s="14">
        <f>IF(A68="","",EDATE($C$7,51-1))</f>
        <v/>
      </c>
      <c r="C68" s="15">
        <f>H67</f>
        <v/>
      </c>
      <c r="D68" s="15">
        <f>IF(C68&gt;0.005,IF(C68+E68-$C$10&lt;1,C68+E68,$C$10),0)</f>
        <v/>
      </c>
      <c r="E68" s="15">
        <f>IF(C68&gt;0.005,C68*$C$5/1200,0)</f>
        <v/>
      </c>
      <c r="F68" s="15">
        <f>IF(C68&gt;0.005,D68-E68,0)</f>
        <v/>
      </c>
      <c r="G68" s="15">
        <f>IF(C68&gt;0.005,MIN($C$8,C68-F68),0)</f>
        <v/>
      </c>
      <c r="H68" s="15">
        <f>IF(C68&gt;0.005,C68-F68-G68,0)</f>
        <v/>
      </c>
      <c r="I68" s="13">
        <f>IF(A68="","",INT((51-1)/12)+1)</f>
        <v/>
      </c>
    </row>
    <row r="69">
      <c r="A69" s="13">
        <f>IF(C69&gt;0.005,52,"")</f>
        <v/>
      </c>
      <c r="B69" s="14">
        <f>IF(A69="","",EDATE($C$7,52-1))</f>
        <v/>
      </c>
      <c r="C69" s="15">
        <f>H68</f>
        <v/>
      </c>
      <c r="D69" s="15">
        <f>IF(C69&gt;0.005,IF(C69+E69-$C$10&lt;1,C69+E69,$C$10),0)</f>
        <v/>
      </c>
      <c r="E69" s="15">
        <f>IF(C69&gt;0.005,C69*$C$5/1200,0)</f>
        <v/>
      </c>
      <c r="F69" s="15">
        <f>IF(C69&gt;0.005,D69-E69,0)</f>
        <v/>
      </c>
      <c r="G69" s="15">
        <f>IF(C69&gt;0.005,MIN($C$8,C69-F69),0)</f>
        <v/>
      </c>
      <c r="H69" s="15">
        <f>IF(C69&gt;0.005,C69-F69-G69,0)</f>
        <v/>
      </c>
      <c r="I69" s="13">
        <f>IF(A69="","",INT((52-1)/12)+1)</f>
        <v/>
      </c>
    </row>
    <row r="70">
      <c r="A70" s="13">
        <f>IF(C70&gt;0.005,53,"")</f>
        <v/>
      </c>
      <c r="B70" s="14">
        <f>IF(A70="","",EDATE($C$7,53-1))</f>
        <v/>
      </c>
      <c r="C70" s="15">
        <f>H69</f>
        <v/>
      </c>
      <c r="D70" s="15">
        <f>IF(C70&gt;0.005,IF(C70+E70-$C$10&lt;1,C70+E70,$C$10),0)</f>
        <v/>
      </c>
      <c r="E70" s="15">
        <f>IF(C70&gt;0.005,C70*$C$5/1200,0)</f>
        <v/>
      </c>
      <c r="F70" s="15">
        <f>IF(C70&gt;0.005,D70-E70,0)</f>
        <v/>
      </c>
      <c r="G70" s="15">
        <f>IF(C70&gt;0.005,MIN($C$8,C70-F70),0)</f>
        <v/>
      </c>
      <c r="H70" s="15">
        <f>IF(C70&gt;0.005,C70-F70-G70,0)</f>
        <v/>
      </c>
      <c r="I70" s="13">
        <f>IF(A70="","",INT((53-1)/12)+1)</f>
        <v/>
      </c>
    </row>
    <row r="71">
      <c r="A71" s="13">
        <f>IF(C71&gt;0.005,54,"")</f>
        <v/>
      </c>
      <c r="B71" s="14">
        <f>IF(A71="","",EDATE($C$7,54-1))</f>
        <v/>
      </c>
      <c r="C71" s="15">
        <f>H70</f>
        <v/>
      </c>
      <c r="D71" s="15">
        <f>IF(C71&gt;0.005,IF(C71+E71-$C$10&lt;1,C71+E71,$C$10),0)</f>
        <v/>
      </c>
      <c r="E71" s="15">
        <f>IF(C71&gt;0.005,C71*$C$5/1200,0)</f>
        <v/>
      </c>
      <c r="F71" s="15">
        <f>IF(C71&gt;0.005,D71-E71,0)</f>
        <v/>
      </c>
      <c r="G71" s="15">
        <f>IF(C71&gt;0.005,MIN($C$8,C71-F71),0)</f>
        <v/>
      </c>
      <c r="H71" s="15">
        <f>IF(C71&gt;0.005,C71-F71-G71,0)</f>
        <v/>
      </c>
      <c r="I71" s="13">
        <f>IF(A71="","",INT((54-1)/12)+1)</f>
        <v/>
      </c>
    </row>
    <row r="72">
      <c r="A72" s="13">
        <f>IF(C72&gt;0.005,55,"")</f>
        <v/>
      </c>
      <c r="B72" s="14">
        <f>IF(A72="","",EDATE($C$7,55-1))</f>
        <v/>
      </c>
      <c r="C72" s="15">
        <f>H71</f>
        <v/>
      </c>
      <c r="D72" s="15">
        <f>IF(C72&gt;0.005,IF(C72+E72-$C$10&lt;1,C72+E72,$C$10),0)</f>
        <v/>
      </c>
      <c r="E72" s="15">
        <f>IF(C72&gt;0.005,C72*$C$5/1200,0)</f>
        <v/>
      </c>
      <c r="F72" s="15">
        <f>IF(C72&gt;0.005,D72-E72,0)</f>
        <v/>
      </c>
      <c r="G72" s="15">
        <f>IF(C72&gt;0.005,MIN($C$8,C72-F72),0)</f>
        <v/>
      </c>
      <c r="H72" s="15">
        <f>IF(C72&gt;0.005,C72-F72-G72,0)</f>
        <v/>
      </c>
      <c r="I72" s="13">
        <f>IF(A72="","",INT((55-1)/12)+1)</f>
        <v/>
      </c>
    </row>
    <row r="73">
      <c r="A73" s="13">
        <f>IF(C73&gt;0.005,56,"")</f>
        <v/>
      </c>
      <c r="B73" s="14">
        <f>IF(A73="","",EDATE($C$7,56-1))</f>
        <v/>
      </c>
      <c r="C73" s="15">
        <f>H72</f>
        <v/>
      </c>
      <c r="D73" s="15">
        <f>IF(C73&gt;0.005,IF(C73+E73-$C$10&lt;1,C73+E73,$C$10),0)</f>
        <v/>
      </c>
      <c r="E73" s="15">
        <f>IF(C73&gt;0.005,C73*$C$5/1200,0)</f>
        <v/>
      </c>
      <c r="F73" s="15">
        <f>IF(C73&gt;0.005,D73-E73,0)</f>
        <v/>
      </c>
      <c r="G73" s="15">
        <f>IF(C73&gt;0.005,MIN($C$8,C73-F73),0)</f>
        <v/>
      </c>
      <c r="H73" s="15">
        <f>IF(C73&gt;0.005,C73-F73-G73,0)</f>
        <v/>
      </c>
      <c r="I73" s="13">
        <f>IF(A73="","",INT((56-1)/12)+1)</f>
        <v/>
      </c>
    </row>
    <row r="74">
      <c r="A74" s="13">
        <f>IF(C74&gt;0.005,57,"")</f>
        <v/>
      </c>
      <c r="B74" s="14">
        <f>IF(A74="","",EDATE($C$7,57-1))</f>
        <v/>
      </c>
      <c r="C74" s="15">
        <f>H73</f>
        <v/>
      </c>
      <c r="D74" s="15">
        <f>IF(C74&gt;0.005,IF(C74+E74-$C$10&lt;1,C74+E74,$C$10),0)</f>
        <v/>
      </c>
      <c r="E74" s="15">
        <f>IF(C74&gt;0.005,C74*$C$5/1200,0)</f>
        <v/>
      </c>
      <c r="F74" s="15">
        <f>IF(C74&gt;0.005,D74-E74,0)</f>
        <v/>
      </c>
      <c r="G74" s="15">
        <f>IF(C74&gt;0.005,MIN($C$8,C74-F74),0)</f>
        <v/>
      </c>
      <c r="H74" s="15">
        <f>IF(C74&gt;0.005,C74-F74-G74,0)</f>
        <v/>
      </c>
      <c r="I74" s="13">
        <f>IF(A74="","",INT((57-1)/12)+1)</f>
        <v/>
      </c>
    </row>
    <row r="75">
      <c r="A75" s="13">
        <f>IF(C75&gt;0.005,58,"")</f>
        <v/>
      </c>
      <c r="B75" s="14">
        <f>IF(A75="","",EDATE($C$7,58-1))</f>
        <v/>
      </c>
      <c r="C75" s="15">
        <f>H74</f>
        <v/>
      </c>
      <c r="D75" s="15">
        <f>IF(C75&gt;0.005,IF(C75+E75-$C$10&lt;1,C75+E75,$C$10),0)</f>
        <v/>
      </c>
      <c r="E75" s="15">
        <f>IF(C75&gt;0.005,C75*$C$5/1200,0)</f>
        <v/>
      </c>
      <c r="F75" s="15">
        <f>IF(C75&gt;0.005,D75-E75,0)</f>
        <v/>
      </c>
      <c r="G75" s="15">
        <f>IF(C75&gt;0.005,MIN($C$8,C75-F75),0)</f>
        <v/>
      </c>
      <c r="H75" s="15">
        <f>IF(C75&gt;0.005,C75-F75-G75,0)</f>
        <v/>
      </c>
      <c r="I75" s="13">
        <f>IF(A75="","",INT((58-1)/12)+1)</f>
        <v/>
      </c>
    </row>
    <row r="76">
      <c r="A76" s="13">
        <f>IF(C76&gt;0.005,59,"")</f>
        <v/>
      </c>
      <c r="B76" s="14">
        <f>IF(A76="","",EDATE($C$7,59-1))</f>
        <v/>
      </c>
      <c r="C76" s="15">
        <f>H75</f>
        <v/>
      </c>
      <c r="D76" s="15">
        <f>IF(C76&gt;0.005,IF(C76+E76-$C$10&lt;1,C76+E76,$C$10),0)</f>
        <v/>
      </c>
      <c r="E76" s="15">
        <f>IF(C76&gt;0.005,C76*$C$5/1200,0)</f>
        <v/>
      </c>
      <c r="F76" s="15">
        <f>IF(C76&gt;0.005,D76-E76,0)</f>
        <v/>
      </c>
      <c r="G76" s="15">
        <f>IF(C76&gt;0.005,MIN($C$8,C76-F76),0)</f>
        <v/>
      </c>
      <c r="H76" s="15">
        <f>IF(C76&gt;0.005,C76-F76-G76,0)</f>
        <v/>
      </c>
      <c r="I76" s="13">
        <f>IF(A76="","",INT((59-1)/12)+1)</f>
        <v/>
      </c>
    </row>
    <row r="77">
      <c r="A77" s="13">
        <f>IF(C77&gt;0.005,60,"")</f>
        <v/>
      </c>
      <c r="B77" s="14">
        <f>IF(A77="","",EDATE($C$7,60-1))</f>
        <v/>
      </c>
      <c r="C77" s="15">
        <f>H76</f>
        <v/>
      </c>
      <c r="D77" s="15">
        <f>IF(C77&gt;0.005,IF(C77+E77-$C$10&lt;1,C77+E77,$C$10),0)</f>
        <v/>
      </c>
      <c r="E77" s="15">
        <f>IF(C77&gt;0.005,C77*$C$5/1200,0)</f>
        <v/>
      </c>
      <c r="F77" s="15">
        <f>IF(C77&gt;0.005,D77-E77,0)</f>
        <v/>
      </c>
      <c r="G77" s="15">
        <f>IF(C77&gt;0.005,MIN($C$8,C77-F77),0)</f>
        <v/>
      </c>
      <c r="H77" s="15">
        <f>IF(C77&gt;0.005,C77-F77-G77,0)</f>
        <v/>
      </c>
      <c r="I77" s="13">
        <f>IF(A77="","",INT((60-1)/12)+1)</f>
        <v/>
      </c>
    </row>
    <row r="78">
      <c r="A78" s="13">
        <f>IF(C78&gt;0.005,61,"")</f>
        <v/>
      </c>
      <c r="B78" s="14">
        <f>IF(A78="","",EDATE($C$7,61-1))</f>
        <v/>
      </c>
      <c r="C78" s="15">
        <f>H77</f>
        <v/>
      </c>
      <c r="D78" s="15">
        <f>IF(C78&gt;0.005,IF(C78+E78-$C$10&lt;1,C78+E78,$C$10),0)</f>
        <v/>
      </c>
      <c r="E78" s="15">
        <f>IF(C78&gt;0.005,C78*$C$5/1200,0)</f>
        <v/>
      </c>
      <c r="F78" s="15">
        <f>IF(C78&gt;0.005,D78-E78,0)</f>
        <v/>
      </c>
      <c r="G78" s="15">
        <f>IF(C78&gt;0.005,MIN($C$8,C78-F78),0)</f>
        <v/>
      </c>
      <c r="H78" s="15">
        <f>IF(C78&gt;0.005,C78-F78-G78,0)</f>
        <v/>
      </c>
      <c r="I78" s="13">
        <f>IF(A78="","",INT((61-1)/12)+1)</f>
        <v/>
      </c>
    </row>
    <row r="79">
      <c r="A79" s="13">
        <f>IF(C79&gt;0.005,62,"")</f>
        <v/>
      </c>
      <c r="B79" s="14">
        <f>IF(A79="","",EDATE($C$7,62-1))</f>
        <v/>
      </c>
      <c r="C79" s="15">
        <f>H78</f>
        <v/>
      </c>
      <c r="D79" s="15">
        <f>IF(C79&gt;0.005,IF(C79+E79-$C$10&lt;1,C79+E79,$C$10),0)</f>
        <v/>
      </c>
      <c r="E79" s="15">
        <f>IF(C79&gt;0.005,C79*$C$5/1200,0)</f>
        <v/>
      </c>
      <c r="F79" s="15">
        <f>IF(C79&gt;0.005,D79-E79,0)</f>
        <v/>
      </c>
      <c r="G79" s="15">
        <f>IF(C79&gt;0.005,MIN($C$8,C79-F79),0)</f>
        <v/>
      </c>
      <c r="H79" s="15">
        <f>IF(C79&gt;0.005,C79-F79-G79,0)</f>
        <v/>
      </c>
      <c r="I79" s="13">
        <f>IF(A79="","",INT((62-1)/12)+1)</f>
        <v/>
      </c>
    </row>
    <row r="80">
      <c r="A80" s="13">
        <f>IF(C80&gt;0.005,63,"")</f>
        <v/>
      </c>
      <c r="B80" s="14">
        <f>IF(A80="","",EDATE($C$7,63-1))</f>
        <v/>
      </c>
      <c r="C80" s="15">
        <f>H79</f>
        <v/>
      </c>
      <c r="D80" s="15">
        <f>IF(C80&gt;0.005,IF(C80+E80-$C$10&lt;1,C80+E80,$C$10),0)</f>
        <v/>
      </c>
      <c r="E80" s="15">
        <f>IF(C80&gt;0.005,C80*$C$5/1200,0)</f>
        <v/>
      </c>
      <c r="F80" s="15">
        <f>IF(C80&gt;0.005,D80-E80,0)</f>
        <v/>
      </c>
      <c r="G80" s="15">
        <f>IF(C80&gt;0.005,MIN($C$8,C80-F80),0)</f>
        <v/>
      </c>
      <c r="H80" s="15">
        <f>IF(C80&gt;0.005,C80-F80-G80,0)</f>
        <v/>
      </c>
      <c r="I80" s="13">
        <f>IF(A80="","",INT((63-1)/12)+1)</f>
        <v/>
      </c>
    </row>
    <row r="81">
      <c r="A81" s="13">
        <f>IF(C81&gt;0.005,64,"")</f>
        <v/>
      </c>
      <c r="B81" s="14">
        <f>IF(A81="","",EDATE($C$7,64-1))</f>
        <v/>
      </c>
      <c r="C81" s="15">
        <f>H80</f>
        <v/>
      </c>
      <c r="D81" s="15">
        <f>IF(C81&gt;0.005,IF(C81+E81-$C$10&lt;1,C81+E81,$C$10),0)</f>
        <v/>
      </c>
      <c r="E81" s="15">
        <f>IF(C81&gt;0.005,C81*$C$5/1200,0)</f>
        <v/>
      </c>
      <c r="F81" s="15">
        <f>IF(C81&gt;0.005,D81-E81,0)</f>
        <v/>
      </c>
      <c r="G81" s="15">
        <f>IF(C81&gt;0.005,MIN($C$8,C81-F81),0)</f>
        <v/>
      </c>
      <c r="H81" s="15">
        <f>IF(C81&gt;0.005,C81-F81-G81,0)</f>
        <v/>
      </c>
      <c r="I81" s="13">
        <f>IF(A81="","",INT((64-1)/12)+1)</f>
        <v/>
      </c>
    </row>
    <row r="82">
      <c r="A82" s="13">
        <f>IF(C82&gt;0.005,65,"")</f>
        <v/>
      </c>
      <c r="B82" s="14">
        <f>IF(A82="","",EDATE($C$7,65-1))</f>
        <v/>
      </c>
      <c r="C82" s="15">
        <f>H81</f>
        <v/>
      </c>
      <c r="D82" s="15">
        <f>IF(C82&gt;0.005,IF(C82+E82-$C$10&lt;1,C82+E82,$C$10),0)</f>
        <v/>
      </c>
      <c r="E82" s="15">
        <f>IF(C82&gt;0.005,C82*$C$5/1200,0)</f>
        <v/>
      </c>
      <c r="F82" s="15">
        <f>IF(C82&gt;0.005,D82-E82,0)</f>
        <v/>
      </c>
      <c r="G82" s="15">
        <f>IF(C82&gt;0.005,MIN($C$8,C82-F82),0)</f>
        <v/>
      </c>
      <c r="H82" s="15">
        <f>IF(C82&gt;0.005,C82-F82-G82,0)</f>
        <v/>
      </c>
      <c r="I82" s="13">
        <f>IF(A82="","",INT((65-1)/12)+1)</f>
        <v/>
      </c>
    </row>
    <row r="83">
      <c r="A83" s="13">
        <f>IF(C83&gt;0.005,66,"")</f>
        <v/>
      </c>
      <c r="B83" s="14">
        <f>IF(A83="","",EDATE($C$7,66-1))</f>
        <v/>
      </c>
      <c r="C83" s="15">
        <f>H82</f>
        <v/>
      </c>
      <c r="D83" s="15">
        <f>IF(C83&gt;0.005,IF(C83+E83-$C$10&lt;1,C83+E83,$C$10),0)</f>
        <v/>
      </c>
      <c r="E83" s="15">
        <f>IF(C83&gt;0.005,C83*$C$5/1200,0)</f>
        <v/>
      </c>
      <c r="F83" s="15">
        <f>IF(C83&gt;0.005,D83-E83,0)</f>
        <v/>
      </c>
      <c r="G83" s="15">
        <f>IF(C83&gt;0.005,MIN($C$8,C83-F83),0)</f>
        <v/>
      </c>
      <c r="H83" s="15">
        <f>IF(C83&gt;0.005,C83-F83-G83,0)</f>
        <v/>
      </c>
      <c r="I83" s="13">
        <f>IF(A83="","",INT((66-1)/12)+1)</f>
        <v/>
      </c>
    </row>
    <row r="84">
      <c r="A84" s="13">
        <f>IF(C84&gt;0.005,67,"")</f>
        <v/>
      </c>
      <c r="B84" s="14">
        <f>IF(A84="","",EDATE($C$7,67-1))</f>
        <v/>
      </c>
      <c r="C84" s="15">
        <f>H83</f>
        <v/>
      </c>
      <c r="D84" s="15">
        <f>IF(C84&gt;0.005,IF(C84+E84-$C$10&lt;1,C84+E84,$C$10),0)</f>
        <v/>
      </c>
      <c r="E84" s="15">
        <f>IF(C84&gt;0.005,C84*$C$5/1200,0)</f>
        <v/>
      </c>
      <c r="F84" s="15">
        <f>IF(C84&gt;0.005,D84-E84,0)</f>
        <v/>
      </c>
      <c r="G84" s="15">
        <f>IF(C84&gt;0.005,MIN($C$8,C84-F84),0)</f>
        <v/>
      </c>
      <c r="H84" s="15">
        <f>IF(C84&gt;0.005,C84-F84-G84,0)</f>
        <v/>
      </c>
      <c r="I84" s="13">
        <f>IF(A84="","",INT((67-1)/12)+1)</f>
        <v/>
      </c>
    </row>
    <row r="85">
      <c r="A85" s="13">
        <f>IF(C85&gt;0.005,68,"")</f>
        <v/>
      </c>
      <c r="B85" s="14">
        <f>IF(A85="","",EDATE($C$7,68-1))</f>
        <v/>
      </c>
      <c r="C85" s="15">
        <f>H84</f>
        <v/>
      </c>
      <c r="D85" s="15">
        <f>IF(C85&gt;0.005,IF(C85+E85-$C$10&lt;1,C85+E85,$C$10),0)</f>
        <v/>
      </c>
      <c r="E85" s="15">
        <f>IF(C85&gt;0.005,C85*$C$5/1200,0)</f>
        <v/>
      </c>
      <c r="F85" s="15">
        <f>IF(C85&gt;0.005,D85-E85,0)</f>
        <v/>
      </c>
      <c r="G85" s="15">
        <f>IF(C85&gt;0.005,MIN($C$8,C85-F85),0)</f>
        <v/>
      </c>
      <c r="H85" s="15">
        <f>IF(C85&gt;0.005,C85-F85-G85,0)</f>
        <v/>
      </c>
      <c r="I85" s="13">
        <f>IF(A85="","",INT((68-1)/12)+1)</f>
        <v/>
      </c>
    </row>
    <row r="86">
      <c r="A86" s="13">
        <f>IF(C86&gt;0.005,69,"")</f>
        <v/>
      </c>
      <c r="B86" s="14">
        <f>IF(A86="","",EDATE($C$7,69-1))</f>
        <v/>
      </c>
      <c r="C86" s="15">
        <f>H85</f>
        <v/>
      </c>
      <c r="D86" s="15">
        <f>IF(C86&gt;0.005,IF(C86+E86-$C$10&lt;1,C86+E86,$C$10),0)</f>
        <v/>
      </c>
      <c r="E86" s="15">
        <f>IF(C86&gt;0.005,C86*$C$5/1200,0)</f>
        <v/>
      </c>
      <c r="F86" s="15">
        <f>IF(C86&gt;0.005,D86-E86,0)</f>
        <v/>
      </c>
      <c r="G86" s="15">
        <f>IF(C86&gt;0.005,MIN($C$8,C86-F86),0)</f>
        <v/>
      </c>
      <c r="H86" s="15">
        <f>IF(C86&gt;0.005,C86-F86-G86,0)</f>
        <v/>
      </c>
      <c r="I86" s="13">
        <f>IF(A86="","",INT((69-1)/12)+1)</f>
        <v/>
      </c>
    </row>
    <row r="87">
      <c r="A87" s="13">
        <f>IF(C87&gt;0.005,70,"")</f>
        <v/>
      </c>
      <c r="B87" s="14">
        <f>IF(A87="","",EDATE($C$7,70-1))</f>
        <v/>
      </c>
      <c r="C87" s="15">
        <f>H86</f>
        <v/>
      </c>
      <c r="D87" s="15">
        <f>IF(C87&gt;0.005,IF(C87+E87-$C$10&lt;1,C87+E87,$C$10),0)</f>
        <v/>
      </c>
      <c r="E87" s="15">
        <f>IF(C87&gt;0.005,C87*$C$5/1200,0)</f>
        <v/>
      </c>
      <c r="F87" s="15">
        <f>IF(C87&gt;0.005,D87-E87,0)</f>
        <v/>
      </c>
      <c r="G87" s="15">
        <f>IF(C87&gt;0.005,MIN($C$8,C87-F87),0)</f>
        <v/>
      </c>
      <c r="H87" s="15">
        <f>IF(C87&gt;0.005,C87-F87-G87,0)</f>
        <v/>
      </c>
      <c r="I87" s="13">
        <f>IF(A87="","",INT((70-1)/12)+1)</f>
        <v/>
      </c>
    </row>
    <row r="88">
      <c r="A88" s="13">
        <f>IF(C88&gt;0.005,71,"")</f>
        <v/>
      </c>
      <c r="B88" s="14">
        <f>IF(A88="","",EDATE($C$7,71-1))</f>
        <v/>
      </c>
      <c r="C88" s="15">
        <f>H87</f>
        <v/>
      </c>
      <c r="D88" s="15">
        <f>IF(C88&gt;0.005,IF(C88+E88-$C$10&lt;1,C88+E88,$C$10),0)</f>
        <v/>
      </c>
      <c r="E88" s="15">
        <f>IF(C88&gt;0.005,C88*$C$5/1200,0)</f>
        <v/>
      </c>
      <c r="F88" s="15">
        <f>IF(C88&gt;0.005,D88-E88,0)</f>
        <v/>
      </c>
      <c r="G88" s="15">
        <f>IF(C88&gt;0.005,MIN($C$8,C88-F88),0)</f>
        <v/>
      </c>
      <c r="H88" s="15">
        <f>IF(C88&gt;0.005,C88-F88-G88,0)</f>
        <v/>
      </c>
      <c r="I88" s="13">
        <f>IF(A88="","",INT((71-1)/12)+1)</f>
        <v/>
      </c>
    </row>
    <row r="89">
      <c r="A89" s="13">
        <f>IF(C89&gt;0.005,72,"")</f>
        <v/>
      </c>
      <c r="B89" s="14">
        <f>IF(A89="","",EDATE($C$7,72-1))</f>
        <v/>
      </c>
      <c r="C89" s="15">
        <f>H88</f>
        <v/>
      </c>
      <c r="D89" s="15">
        <f>IF(C89&gt;0.005,IF(C89+E89-$C$10&lt;1,C89+E89,$C$10),0)</f>
        <v/>
      </c>
      <c r="E89" s="15">
        <f>IF(C89&gt;0.005,C89*$C$5/1200,0)</f>
        <v/>
      </c>
      <c r="F89" s="15">
        <f>IF(C89&gt;0.005,D89-E89,0)</f>
        <v/>
      </c>
      <c r="G89" s="15">
        <f>IF(C89&gt;0.005,MIN($C$8,C89-F89),0)</f>
        <v/>
      </c>
      <c r="H89" s="15">
        <f>IF(C89&gt;0.005,C89-F89-G89,0)</f>
        <v/>
      </c>
      <c r="I89" s="13">
        <f>IF(A89="","",INT((72-1)/12)+1)</f>
        <v/>
      </c>
    </row>
    <row r="90">
      <c r="A90" s="13">
        <f>IF(C90&gt;0.005,73,"")</f>
        <v/>
      </c>
      <c r="B90" s="14">
        <f>IF(A90="","",EDATE($C$7,73-1))</f>
        <v/>
      </c>
      <c r="C90" s="15">
        <f>H89</f>
        <v/>
      </c>
      <c r="D90" s="15">
        <f>IF(C90&gt;0.005,IF(C90+E90-$C$10&lt;1,C90+E90,$C$10),0)</f>
        <v/>
      </c>
      <c r="E90" s="15">
        <f>IF(C90&gt;0.005,C90*$C$5/1200,0)</f>
        <v/>
      </c>
      <c r="F90" s="15">
        <f>IF(C90&gt;0.005,D90-E90,0)</f>
        <v/>
      </c>
      <c r="G90" s="15">
        <f>IF(C90&gt;0.005,MIN($C$8,C90-F90),0)</f>
        <v/>
      </c>
      <c r="H90" s="15">
        <f>IF(C90&gt;0.005,C90-F90-G90,0)</f>
        <v/>
      </c>
      <c r="I90" s="13">
        <f>IF(A90="","",INT((73-1)/12)+1)</f>
        <v/>
      </c>
    </row>
    <row r="91">
      <c r="A91" s="13">
        <f>IF(C91&gt;0.005,74,"")</f>
        <v/>
      </c>
      <c r="B91" s="14">
        <f>IF(A91="","",EDATE($C$7,74-1))</f>
        <v/>
      </c>
      <c r="C91" s="15">
        <f>H90</f>
        <v/>
      </c>
      <c r="D91" s="15">
        <f>IF(C91&gt;0.005,IF(C91+E91-$C$10&lt;1,C91+E91,$C$10),0)</f>
        <v/>
      </c>
      <c r="E91" s="15">
        <f>IF(C91&gt;0.005,C91*$C$5/1200,0)</f>
        <v/>
      </c>
      <c r="F91" s="15">
        <f>IF(C91&gt;0.005,D91-E91,0)</f>
        <v/>
      </c>
      <c r="G91" s="15">
        <f>IF(C91&gt;0.005,MIN($C$8,C91-F91),0)</f>
        <v/>
      </c>
      <c r="H91" s="15">
        <f>IF(C91&gt;0.005,C91-F91-G91,0)</f>
        <v/>
      </c>
      <c r="I91" s="13">
        <f>IF(A91="","",INT((74-1)/12)+1)</f>
        <v/>
      </c>
    </row>
    <row r="92">
      <c r="A92" s="13">
        <f>IF(C92&gt;0.005,75,"")</f>
        <v/>
      </c>
      <c r="B92" s="14">
        <f>IF(A92="","",EDATE($C$7,75-1))</f>
        <v/>
      </c>
      <c r="C92" s="15">
        <f>H91</f>
        <v/>
      </c>
      <c r="D92" s="15">
        <f>IF(C92&gt;0.005,IF(C92+E92-$C$10&lt;1,C92+E92,$C$10),0)</f>
        <v/>
      </c>
      <c r="E92" s="15">
        <f>IF(C92&gt;0.005,C92*$C$5/1200,0)</f>
        <v/>
      </c>
      <c r="F92" s="15">
        <f>IF(C92&gt;0.005,D92-E92,0)</f>
        <v/>
      </c>
      <c r="G92" s="15">
        <f>IF(C92&gt;0.005,MIN($C$8,C92-F92),0)</f>
        <v/>
      </c>
      <c r="H92" s="15">
        <f>IF(C92&gt;0.005,C92-F92-G92,0)</f>
        <v/>
      </c>
      <c r="I92" s="13">
        <f>IF(A92="","",INT((75-1)/12)+1)</f>
        <v/>
      </c>
    </row>
    <row r="93">
      <c r="A93" s="13">
        <f>IF(C93&gt;0.005,76,"")</f>
        <v/>
      </c>
      <c r="B93" s="14">
        <f>IF(A93="","",EDATE($C$7,76-1))</f>
        <v/>
      </c>
      <c r="C93" s="15">
        <f>H92</f>
        <v/>
      </c>
      <c r="D93" s="15">
        <f>IF(C93&gt;0.005,IF(C93+E93-$C$10&lt;1,C93+E93,$C$10),0)</f>
        <v/>
      </c>
      <c r="E93" s="15">
        <f>IF(C93&gt;0.005,C93*$C$5/1200,0)</f>
        <v/>
      </c>
      <c r="F93" s="15">
        <f>IF(C93&gt;0.005,D93-E93,0)</f>
        <v/>
      </c>
      <c r="G93" s="15">
        <f>IF(C93&gt;0.005,MIN($C$8,C93-F93),0)</f>
        <v/>
      </c>
      <c r="H93" s="15">
        <f>IF(C93&gt;0.005,C93-F93-G93,0)</f>
        <v/>
      </c>
      <c r="I93" s="13">
        <f>IF(A93="","",INT((76-1)/12)+1)</f>
        <v/>
      </c>
    </row>
    <row r="94">
      <c r="A94" s="13">
        <f>IF(C94&gt;0.005,77,"")</f>
        <v/>
      </c>
      <c r="B94" s="14">
        <f>IF(A94="","",EDATE($C$7,77-1))</f>
        <v/>
      </c>
      <c r="C94" s="15">
        <f>H93</f>
        <v/>
      </c>
      <c r="D94" s="15">
        <f>IF(C94&gt;0.005,IF(C94+E94-$C$10&lt;1,C94+E94,$C$10),0)</f>
        <v/>
      </c>
      <c r="E94" s="15">
        <f>IF(C94&gt;0.005,C94*$C$5/1200,0)</f>
        <v/>
      </c>
      <c r="F94" s="15">
        <f>IF(C94&gt;0.005,D94-E94,0)</f>
        <v/>
      </c>
      <c r="G94" s="15">
        <f>IF(C94&gt;0.005,MIN($C$8,C94-F94),0)</f>
        <v/>
      </c>
      <c r="H94" s="15">
        <f>IF(C94&gt;0.005,C94-F94-G94,0)</f>
        <v/>
      </c>
      <c r="I94" s="13">
        <f>IF(A94="","",INT((77-1)/12)+1)</f>
        <v/>
      </c>
    </row>
    <row r="95">
      <c r="A95" s="13">
        <f>IF(C95&gt;0.005,78,"")</f>
        <v/>
      </c>
      <c r="B95" s="14">
        <f>IF(A95="","",EDATE($C$7,78-1))</f>
        <v/>
      </c>
      <c r="C95" s="15">
        <f>H94</f>
        <v/>
      </c>
      <c r="D95" s="15">
        <f>IF(C95&gt;0.005,IF(C95+E95-$C$10&lt;1,C95+E95,$C$10),0)</f>
        <v/>
      </c>
      <c r="E95" s="15">
        <f>IF(C95&gt;0.005,C95*$C$5/1200,0)</f>
        <v/>
      </c>
      <c r="F95" s="15">
        <f>IF(C95&gt;0.005,D95-E95,0)</f>
        <v/>
      </c>
      <c r="G95" s="15">
        <f>IF(C95&gt;0.005,MIN($C$8,C95-F95),0)</f>
        <v/>
      </c>
      <c r="H95" s="15">
        <f>IF(C95&gt;0.005,C95-F95-G95,0)</f>
        <v/>
      </c>
      <c r="I95" s="13">
        <f>IF(A95="","",INT((78-1)/12)+1)</f>
        <v/>
      </c>
    </row>
    <row r="96">
      <c r="A96" s="13">
        <f>IF(C96&gt;0.005,79,"")</f>
        <v/>
      </c>
      <c r="B96" s="14">
        <f>IF(A96="","",EDATE($C$7,79-1))</f>
        <v/>
      </c>
      <c r="C96" s="15">
        <f>H95</f>
        <v/>
      </c>
      <c r="D96" s="15">
        <f>IF(C96&gt;0.005,IF(C96+E96-$C$10&lt;1,C96+E96,$C$10),0)</f>
        <v/>
      </c>
      <c r="E96" s="15">
        <f>IF(C96&gt;0.005,C96*$C$5/1200,0)</f>
        <v/>
      </c>
      <c r="F96" s="15">
        <f>IF(C96&gt;0.005,D96-E96,0)</f>
        <v/>
      </c>
      <c r="G96" s="15">
        <f>IF(C96&gt;0.005,MIN($C$8,C96-F96),0)</f>
        <v/>
      </c>
      <c r="H96" s="15">
        <f>IF(C96&gt;0.005,C96-F96-G96,0)</f>
        <v/>
      </c>
      <c r="I96" s="13">
        <f>IF(A96="","",INT((79-1)/12)+1)</f>
        <v/>
      </c>
    </row>
    <row r="97">
      <c r="A97" s="13">
        <f>IF(C97&gt;0.005,80,"")</f>
        <v/>
      </c>
      <c r="B97" s="14">
        <f>IF(A97="","",EDATE($C$7,80-1))</f>
        <v/>
      </c>
      <c r="C97" s="15">
        <f>H96</f>
        <v/>
      </c>
      <c r="D97" s="15">
        <f>IF(C97&gt;0.005,IF(C97+E97-$C$10&lt;1,C97+E97,$C$10),0)</f>
        <v/>
      </c>
      <c r="E97" s="15">
        <f>IF(C97&gt;0.005,C97*$C$5/1200,0)</f>
        <v/>
      </c>
      <c r="F97" s="15">
        <f>IF(C97&gt;0.005,D97-E97,0)</f>
        <v/>
      </c>
      <c r="G97" s="15">
        <f>IF(C97&gt;0.005,MIN($C$8,C97-F97),0)</f>
        <v/>
      </c>
      <c r="H97" s="15">
        <f>IF(C97&gt;0.005,C97-F97-G97,0)</f>
        <v/>
      </c>
      <c r="I97" s="13">
        <f>IF(A97="","",INT((80-1)/12)+1)</f>
        <v/>
      </c>
    </row>
    <row r="98">
      <c r="A98" s="13">
        <f>IF(C98&gt;0.005,81,"")</f>
        <v/>
      </c>
      <c r="B98" s="14">
        <f>IF(A98="","",EDATE($C$7,81-1))</f>
        <v/>
      </c>
      <c r="C98" s="15">
        <f>H97</f>
        <v/>
      </c>
      <c r="D98" s="15">
        <f>IF(C98&gt;0.005,IF(C98+E98-$C$10&lt;1,C98+E98,$C$10),0)</f>
        <v/>
      </c>
      <c r="E98" s="15">
        <f>IF(C98&gt;0.005,C98*$C$5/1200,0)</f>
        <v/>
      </c>
      <c r="F98" s="15">
        <f>IF(C98&gt;0.005,D98-E98,0)</f>
        <v/>
      </c>
      <c r="G98" s="15">
        <f>IF(C98&gt;0.005,MIN($C$8,C98-F98),0)</f>
        <v/>
      </c>
      <c r="H98" s="15">
        <f>IF(C98&gt;0.005,C98-F98-G98,0)</f>
        <v/>
      </c>
      <c r="I98" s="13">
        <f>IF(A98="","",INT((81-1)/12)+1)</f>
        <v/>
      </c>
    </row>
    <row r="99">
      <c r="A99" s="13">
        <f>IF(C99&gt;0.005,82,"")</f>
        <v/>
      </c>
      <c r="B99" s="14">
        <f>IF(A99="","",EDATE($C$7,82-1))</f>
        <v/>
      </c>
      <c r="C99" s="15">
        <f>H98</f>
        <v/>
      </c>
      <c r="D99" s="15">
        <f>IF(C99&gt;0.005,IF(C99+E99-$C$10&lt;1,C99+E99,$C$10),0)</f>
        <v/>
      </c>
      <c r="E99" s="15">
        <f>IF(C99&gt;0.005,C99*$C$5/1200,0)</f>
        <v/>
      </c>
      <c r="F99" s="15">
        <f>IF(C99&gt;0.005,D99-E99,0)</f>
        <v/>
      </c>
      <c r="G99" s="15">
        <f>IF(C99&gt;0.005,MIN($C$8,C99-F99),0)</f>
        <v/>
      </c>
      <c r="H99" s="15">
        <f>IF(C99&gt;0.005,C99-F99-G99,0)</f>
        <v/>
      </c>
      <c r="I99" s="13">
        <f>IF(A99="","",INT((82-1)/12)+1)</f>
        <v/>
      </c>
    </row>
    <row r="100">
      <c r="A100" s="13">
        <f>IF(C100&gt;0.005,83,"")</f>
        <v/>
      </c>
      <c r="B100" s="14">
        <f>IF(A100="","",EDATE($C$7,83-1))</f>
        <v/>
      </c>
      <c r="C100" s="15">
        <f>H99</f>
        <v/>
      </c>
      <c r="D100" s="15">
        <f>IF(C100&gt;0.005,IF(C100+E100-$C$10&lt;1,C100+E100,$C$10),0)</f>
        <v/>
      </c>
      <c r="E100" s="15">
        <f>IF(C100&gt;0.005,C100*$C$5/1200,0)</f>
        <v/>
      </c>
      <c r="F100" s="15">
        <f>IF(C100&gt;0.005,D100-E100,0)</f>
        <v/>
      </c>
      <c r="G100" s="15">
        <f>IF(C100&gt;0.005,MIN($C$8,C100-F100),0)</f>
        <v/>
      </c>
      <c r="H100" s="15">
        <f>IF(C100&gt;0.005,C100-F100-G100,0)</f>
        <v/>
      </c>
      <c r="I100" s="13">
        <f>IF(A100="","",INT((83-1)/12)+1)</f>
        <v/>
      </c>
    </row>
    <row r="101">
      <c r="A101" s="13">
        <f>IF(C101&gt;0.005,84,"")</f>
        <v/>
      </c>
      <c r="B101" s="14">
        <f>IF(A101="","",EDATE($C$7,84-1))</f>
        <v/>
      </c>
      <c r="C101" s="15">
        <f>H100</f>
        <v/>
      </c>
      <c r="D101" s="15">
        <f>IF(C101&gt;0.005,IF(C101+E101-$C$10&lt;1,C101+E101,$C$10),0)</f>
        <v/>
      </c>
      <c r="E101" s="15">
        <f>IF(C101&gt;0.005,C101*$C$5/1200,0)</f>
        <v/>
      </c>
      <c r="F101" s="15">
        <f>IF(C101&gt;0.005,D101-E101,0)</f>
        <v/>
      </c>
      <c r="G101" s="15">
        <f>IF(C101&gt;0.005,MIN($C$8,C101-F101),0)</f>
        <v/>
      </c>
      <c r="H101" s="15">
        <f>IF(C101&gt;0.005,C101-F101-G101,0)</f>
        <v/>
      </c>
      <c r="I101" s="13">
        <f>IF(A101="","",INT((84-1)/12)+1)</f>
        <v/>
      </c>
    </row>
    <row r="102">
      <c r="A102" s="13">
        <f>IF(C102&gt;0.005,85,"")</f>
        <v/>
      </c>
      <c r="B102" s="14">
        <f>IF(A102="","",EDATE($C$7,85-1))</f>
        <v/>
      </c>
      <c r="C102" s="15">
        <f>H101</f>
        <v/>
      </c>
      <c r="D102" s="15">
        <f>IF(C102&gt;0.005,IF(C102+E102-$C$10&lt;1,C102+E102,$C$10),0)</f>
        <v/>
      </c>
      <c r="E102" s="15">
        <f>IF(C102&gt;0.005,C102*$C$5/1200,0)</f>
        <v/>
      </c>
      <c r="F102" s="15">
        <f>IF(C102&gt;0.005,D102-E102,0)</f>
        <v/>
      </c>
      <c r="G102" s="15">
        <f>IF(C102&gt;0.005,MIN($C$8,C102-F102),0)</f>
        <v/>
      </c>
      <c r="H102" s="15">
        <f>IF(C102&gt;0.005,C102-F102-G102,0)</f>
        <v/>
      </c>
      <c r="I102" s="13">
        <f>IF(A102="","",INT((85-1)/12)+1)</f>
        <v/>
      </c>
    </row>
    <row r="103">
      <c r="A103" s="13">
        <f>IF(C103&gt;0.005,86,"")</f>
        <v/>
      </c>
      <c r="B103" s="14">
        <f>IF(A103="","",EDATE($C$7,86-1))</f>
        <v/>
      </c>
      <c r="C103" s="15">
        <f>H102</f>
        <v/>
      </c>
      <c r="D103" s="15">
        <f>IF(C103&gt;0.005,IF(C103+E103-$C$10&lt;1,C103+E103,$C$10),0)</f>
        <v/>
      </c>
      <c r="E103" s="15">
        <f>IF(C103&gt;0.005,C103*$C$5/1200,0)</f>
        <v/>
      </c>
      <c r="F103" s="15">
        <f>IF(C103&gt;0.005,D103-E103,0)</f>
        <v/>
      </c>
      <c r="G103" s="15">
        <f>IF(C103&gt;0.005,MIN($C$8,C103-F103),0)</f>
        <v/>
      </c>
      <c r="H103" s="15">
        <f>IF(C103&gt;0.005,C103-F103-G103,0)</f>
        <v/>
      </c>
      <c r="I103" s="13">
        <f>IF(A103="","",INT((86-1)/12)+1)</f>
        <v/>
      </c>
    </row>
    <row r="104">
      <c r="A104" s="13">
        <f>IF(C104&gt;0.005,87,"")</f>
        <v/>
      </c>
      <c r="B104" s="14">
        <f>IF(A104="","",EDATE($C$7,87-1))</f>
        <v/>
      </c>
      <c r="C104" s="15">
        <f>H103</f>
        <v/>
      </c>
      <c r="D104" s="15">
        <f>IF(C104&gt;0.005,IF(C104+E104-$C$10&lt;1,C104+E104,$C$10),0)</f>
        <v/>
      </c>
      <c r="E104" s="15">
        <f>IF(C104&gt;0.005,C104*$C$5/1200,0)</f>
        <v/>
      </c>
      <c r="F104" s="15">
        <f>IF(C104&gt;0.005,D104-E104,0)</f>
        <v/>
      </c>
      <c r="G104" s="15">
        <f>IF(C104&gt;0.005,MIN($C$8,C104-F104),0)</f>
        <v/>
      </c>
      <c r="H104" s="15">
        <f>IF(C104&gt;0.005,C104-F104-G104,0)</f>
        <v/>
      </c>
      <c r="I104" s="13">
        <f>IF(A104="","",INT((87-1)/12)+1)</f>
        <v/>
      </c>
    </row>
    <row r="105">
      <c r="A105" s="13">
        <f>IF(C105&gt;0.005,88,"")</f>
        <v/>
      </c>
      <c r="B105" s="14">
        <f>IF(A105="","",EDATE($C$7,88-1))</f>
        <v/>
      </c>
      <c r="C105" s="15">
        <f>H104</f>
        <v/>
      </c>
      <c r="D105" s="15">
        <f>IF(C105&gt;0.005,IF(C105+E105-$C$10&lt;1,C105+E105,$C$10),0)</f>
        <v/>
      </c>
      <c r="E105" s="15">
        <f>IF(C105&gt;0.005,C105*$C$5/1200,0)</f>
        <v/>
      </c>
      <c r="F105" s="15">
        <f>IF(C105&gt;0.005,D105-E105,0)</f>
        <v/>
      </c>
      <c r="G105" s="15">
        <f>IF(C105&gt;0.005,MIN($C$8,C105-F105),0)</f>
        <v/>
      </c>
      <c r="H105" s="15">
        <f>IF(C105&gt;0.005,C105-F105-G105,0)</f>
        <v/>
      </c>
      <c r="I105" s="13">
        <f>IF(A105="","",INT((88-1)/12)+1)</f>
        <v/>
      </c>
    </row>
    <row r="106">
      <c r="A106" s="13">
        <f>IF(C106&gt;0.005,89,"")</f>
        <v/>
      </c>
      <c r="B106" s="14">
        <f>IF(A106="","",EDATE($C$7,89-1))</f>
        <v/>
      </c>
      <c r="C106" s="15">
        <f>H105</f>
        <v/>
      </c>
      <c r="D106" s="15">
        <f>IF(C106&gt;0.005,IF(C106+E106-$C$10&lt;1,C106+E106,$C$10),0)</f>
        <v/>
      </c>
      <c r="E106" s="15">
        <f>IF(C106&gt;0.005,C106*$C$5/1200,0)</f>
        <v/>
      </c>
      <c r="F106" s="15">
        <f>IF(C106&gt;0.005,D106-E106,0)</f>
        <v/>
      </c>
      <c r="G106" s="15">
        <f>IF(C106&gt;0.005,MIN($C$8,C106-F106),0)</f>
        <v/>
      </c>
      <c r="H106" s="15">
        <f>IF(C106&gt;0.005,C106-F106-G106,0)</f>
        <v/>
      </c>
      <c r="I106" s="13">
        <f>IF(A106="","",INT((89-1)/12)+1)</f>
        <v/>
      </c>
    </row>
    <row r="107">
      <c r="A107" s="13">
        <f>IF(C107&gt;0.005,90,"")</f>
        <v/>
      </c>
      <c r="B107" s="14">
        <f>IF(A107="","",EDATE($C$7,90-1))</f>
        <v/>
      </c>
      <c r="C107" s="15">
        <f>H106</f>
        <v/>
      </c>
      <c r="D107" s="15">
        <f>IF(C107&gt;0.005,IF(C107+E107-$C$10&lt;1,C107+E107,$C$10),0)</f>
        <v/>
      </c>
      <c r="E107" s="15">
        <f>IF(C107&gt;0.005,C107*$C$5/1200,0)</f>
        <v/>
      </c>
      <c r="F107" s="15">
        <f>IF(C107&gt;0.005,D107-E107,0)</f>
        <v/>
      </c>
      <c r="G107" s="15">
        <f>IF(C107&gt;0.005,MIN($C$8,C107-F107),0)</f>
        <v/>
      </c>
      <c r="H107" s="15">
        <f>IF(C107&gt;0.005,C107-F107-G107,0)</f>
        <v/>
      </c>
      <c r="I107" s="13">
        <f>IF(A107="","",INT((90-1)/12)+1)</f>
        <v/>
      </c>
    </row>
    <row r="108">
      <c r="A108" s="13">
        <f>IF(C108&gt;0.005,91,"")</f>
        <v/>
      </c>
      <c r="B108" s="14">
        <f>IF(A108="","",EDATE($C$7,91-1))</f>
        <v/>
      </c>
      <c r="C108" s="15">
        <f>H107</f>
        <v/>
      </c>
      <c r="D108" s="15">
        <f>IF(C108&gt;0.005,IF(C108+E108-$C$10&lt;1,C108+E108,$C$10),0)</f>
        <v/>
      </c>
      <c r="E108" s="15">
        <f>IF(C108&gt;0.005,C108*$C$5/1200,0)</f>
        <v/>
      </c>
      <c r="F108" s="15">
        <f>IF(C108&gt;0.005,D108-E108,0)</f>
        <v/>
      </c>
      <c r="G108" s="15">
        <f>IF(C108&gt;0.005,MIN($C$8,C108-F108),0)</f>
        <v/>
      </c>
      <c r="H108" s="15">
        <f>IF(C108&gt;0.005,C108-F108-G108,0)</f>
        <v/>
      </c>
      <c r="I108" s="13">
        <f>IF(A108="","",INT((91-1)/12)+1)</f>
        <v/>
      </c>
    </row>
    <row r="109">
      <c r="A109" s="13">
        <f>IF(C109&gt;0.005,92,"")</f>
        <v/>
      </c>
      <c r="B109" s="14">
        <f>IF(A109="","",EDATE($C$7,92-1))</f>
        <v/>
      </c>
      <c r="C109" s="15">
        <f>H108</f>
        <v/>
      </c>
      <c r="D109" s="15">
        <f>IF(C109&gt;0.005,IF(C109+E109-$C$10&lt;1,C109+E109,$C$10),0)</f>
        <v/>
      </c>
      <c r="E109" s="15">
        <f>IF(C109&gt;0.005,C109*$C$5/1200,0)</f>
        <v/>
      </c>
      <c r="F109" s="15">
        <f>IF(C109&gt;0.005,D109-E109,0)</f>
        <v/>
      </c>
      <c r="G109" s="15">
        <f>IF(C109&gt;0.005,MIN($C$8,C109-F109),0)</f>
        <v/>
      </c>
      <c r="H109" s="15">
        <f>IF(C109&gt;0.005,C109-F109-G109,0)</f>
        <v/>
      </c>
      <c r="I109" s="13">
        <f>IF(A109="","",INT((92-1)/12)+1)</f>
        <v/>
      </c>
    </row>
    <row r="110">
      <c r="A110" s="13">
        <f>IF(C110&gt;0.005,93,"")</f>
        <v/>
      </c>
      <c r="B110" s="14">
        <f>IF(A110="","",EDATE($C$7,93-1))</f>
        <v/>
      </c>
      <c r="C110" s="15">
        <f>H109</f>
        <v/>
      </c>
      <c r="D110" s="15">
        <f>IF(C110&gt;0.005,IF(C110+E110-$C$10&lt;1,C110+E110,$C$10),0)</f>
        <v/>
      </c>
      <c r="E110" s="15">
        <f>IF(C110&gt;0.005,C110*$C$5/1200,0)</f>
        <v/>
      </c>
      <c r="F110" s="15">
        <f>IF(C110&gt;0.005,D110-E110,0)</f>
        <v/>
      </c>
      <c r="G110" s="15">
        <f>IF(C110&gt;0.005,MIN($C$8,C110-F110),0)</f>
        <v/>
      </c>
      <c r="H110" s="15">
        <f>IF(C110&gt;0.005,C110-F110-G110,0)</f>
        <v/>
      </c>
      <c r="I110" s="13">
        <f>IF(A110="","",INT((93-1)/12)+1)</f>
        <v/>
      </c>
    </row>
    <row r="111">
      <c r="A111" s="13">
        <f>IF(C111&gt;0.005,94,"")</f>
        <v/>
      </c>
      <c r="B111" s="14">
        <f>IF(A111="","",EDATE($C$7,94-1))</f>
        <v/>
      </c>
      <c r="C111" s="15">
        <f>H110</f>
        <v/>
      </c>
      <c r="D111" s="15">
        <f>IF(C111&gt;0.005,IF(C111+E111-$C$10&lt;1,C111+E111,$C$10),0)</f>
        <v/>
      </c>
      <c r="E111" s="15">
        <f>IF(C111&gt;0.005,C111*$C$5/1200,0)</f>
        <v/>
      </c>
      <c r="F111" s="15">
        <f>IF(C111&gt;0.005,D111-E111,0)</f>
        <v/>
      </c>
      <c r="G111" s="15">
        <f>IF(C111&gt;0.005,MIN($C$8,C111-F111),0)</f>
        <v/>
      </c>
      <c r="H111" s="15">
        <f>IF(C111&gt;0.005,C111-F111-G111,0)</f>
        <v/>
      </c>
      <c r="I111" s="13">
        <f>IF(A111="","",INT((94-1)/12)+1)</f>
        <v/>
      </c>
    </row>
    <row r="112">
      <c r="A112" s="13">
        <f>IF(C112&gt;0.005,95,"")</f>
        <v/>
      </c>
      <c r="B112" s="14">
        <f>IF(A112="","",EDATE($C$7,95-1))</f>
        <v/>
      </c>
      <c r="C112" s="15">
        <f>H111</f>
        <v/>
      </c>
      <c r="D112" s="15">
        <f>IF(C112&gt;0.005,IF(C112+E112-$C$10&lt;1,C112+E112,$C$10),0)</f>
        <v/>
      </c>
      <c r="E112" s="15">
        <f>IF(C112&gt;0.005,C112*$C$5/1200,0)</f>
        <v/>
      </c>
      <c r="F112" s="15">
        <f>IF(C112&gt;0.005,D112-E112,0)</f>
        <v/>
      </c>
      <c r="G112" s="15">
        <f>IF(C112&gt;0.005,MIN($C$8,C112-F112),0)</f>
        <v/>
      </c>
      <c r="H112" s="15">
        <f>IF(C112&gt;0.005,C112-F112-G112,0)</f>
        <v/>
      </c>
      <c r="I112" s="13">
        <f>IF(A112="","",INT((95-1)/12)+1)</f>
        <v/>
      </c>
    </row>
    <row r="113">
      <c r="A113" s="13">
        <f>IF(C113&gt;0.005,96,"")</f>
        <v/>
      </c>
      <c r="B113" s="14">
        <f>IF(A113="","",EDATE($C$7,96-1))</f>
        <v/>
      </c>
      <c r="C113" s="15">
        <f>H112</f>
        <v/>
      </c>
      <c r="D113" s="15">
        <f>IF(C113&gt;0.005,IF(C113+E113-$C$10&lt;1,C113+E113,$C$10),0)</f>
        <v/>
      </c>
      <c r="E113" s="15">
        <f>IF(C113&gt;0.005,C113*$C$5/1200,0)</f>
        <v/>
      </c>
      <c r="F113" s="15">
        <f>IF(C113&gt;0.005,D113-E113,0)</f>
        <v/>
      </c>
      <c r="G113" s="15">
        <f>IF(C113&gt;0.005,MIN($C$8,C113-F113),0)</f>
        <v/>
      </c>
      <c r="H113" s="15">
        <f>IF(C113&gt;0.005,C113-F113-G113,0)</f>
        <v/>
      </c>
      <c r="I113" s="13">
        <f>IF(A113="","",INT((96-1)/12)+1)</f>
        <v/>
      </c>
    </row>
    <row r="114">
      <c r="A114" s="13">
        <f>IF(C114&gt;0.005,97,"")</f>
        <v/>
      </c>
      <c r="B114" s="14">
        <f>IF(A114="","",EDATE($C$7,97-1))</f>
        <v/>
      </c>
      <c r="C114" s="15">
        <f>H113</f>
        <v/>
      </c>
      <c r="D114" s="15">
        <f>IF(C114&gt;0.005,IF(C114+E114-$C$10&lt;1,C114+E114,$C$10),0)</f>
        <v/>
      </c>
      <c r="E114" s="15">
        <f>IF(C114&gt;0.005,C114*$C$5/1200,0)</f>
        <v/>
      </c>
      <c r="F114" s="15">
        <f>IF(C114&gt;0.005,D114-E114,0)</f>
        <v/>
      </c>
      <c r="G114" s="15">
        <f>IF(C114&gt;0.005,MIN($C$8,C114-F114),0)</f>
        <v/>
      </c>
      <c r="H114" s="15">
        <f>IF(C114&gt;0.005,C114-F114-G114,0)</f>
        <v/>
      </c>
      <c r="I114" s="13">
        <f>IF(A114="","",INT((97-1)/12)+1)</f>
        <v/>
      </c>
    </row>
    <row r="115">
      <c r="A115" s="13">
        <f>IF(C115&gt;0.005,98,"")</f>
        <v/>
      </c>
      <c r="B115" s="14">
        <f>IF(A115="","",EDATE($C$7,98-1))</f>
        <v/>
      </c>
      <c r="C115" s="15">
        <f>H114</f>
        <v/>
      </c>
      <c r="D115" s="15">
        <f>IF(C115&gt;0.005,IF(C115+E115-$C$10&lt;1,C115+E115,$C$10),0)</f>
        <v/>
      </c>
      <c r="E115" s="15">
        <f>IF(C115&gt;0.005,C115*$C$5/1200,0)</f>
        <v/>
      </c>
      <c r="F115" s="15">
        <f>IF(C115&gt;0.005,D115-E115,0)</f>
        <v/>
      </c>
      <c r="G115" s="15">
        <f>IF(C115&gt;0.005,MIN($C$8,C115-F115),0)</f>
        <v/>
      </c>
      <c r="H115" s="15">
        <f>IF(C115&gt;0.005,C115-F115-G115,0)</f>
        <v/>
      </c>
      <c r="I115" s="13">
        <f>IF(A115="","",INT((98-1)/12)+1)</f>
        <v/>
      </c>
    </row>
    <row r="116">
      <c r="A116" s="13">
        <f>IF(C116&gt;0.005,99,"")</f>
        <v/>
      </c>
      <c r="B116" s="14">
        <f>IF(A116="","",EDATE($C$7,99-1))</f>
        <v/>
      </c>
      <c r="C116" s="15">
        <f>H115</f>
        <v/>
      </c>
      <c r="D116" s="15">
        <f>IF(C116&gt;0.005,IF(C116+E116-$C$10&lt;1,C116+E116,$C$10),0)</f>
        <v/>
      </c>
      <c r="E116" s="15">
        <f>IF(C116&gt;0.005,C116*$C$5/1200,0)</f>
        <v/>
      </c>
      <c r="F116" s="15">
        <f>IF(C116&gt;0.005,D116-E116,0)</f>
        <v/>
      </c>
      <c r="G116" s="15">
        <f>IF(C116&gt;0.005,MIN($C$8,C116-F116),0)</f>
        <v/>
      </c>
      <c r="H116" s="15">
        <f>IF(C116&gt;0.005,C116-F116-G116,0)</f>
        <v/>
      </c>
      <c r="I116" s="13">
        <f>IF(A116="","",INT((99-1)/12)+1)</f>
        <v/>
      </c>
    </row>
    <row r="117">
      <c r="A117" s="13">
        <f>IF(C117&gt;0.005,100,"")</f>
        <v/>
      </c>
      <c r="B117" s="14">
        <f>IF(A117="","",EDATE($C$7,100-1))</f>
        <v/>
      </c>
      <c r="C117" s="15">
        <f>H116</f>
        <v/>
      </c>
      <c r="D117" s="15">
        <f>IF(C117&gt;0.005,IF(C117+E117-$C$10&lt;1,C117+E117,$C$10),0)</f>
        <v/>
      </c>
      <c r="E117" s="15">
        <f>IF(C117&gt;0.005,C117*$C$5/1200,0)</f>
        <v/>
      </c>
      <c r="F117" s="15">
        <f>IF(C117&gt;0.005,D117-E117,0)</f>
        <v/>
      </c>
      <c r="G117" s="15">
        <f>IF(C117&gt;0.005,MIN($C$8,C117-F117),0)</f>
        <v/>
      </c>
      <c r="H117" s="15">
        <f>IF(C117&gt;0.005,C117-F117-G117,0)</f>
        <v/>
      </c>
      <c r="I117" s="13">
        <f>IF(A117="","",INT((100-1)/12)+1)</f>
        <v/>
      </c>
    </row>
    <row r="118">
      <c r="A118" s="13">
        <f>IF(C118&gt;0.005,101,"")</f>
        <v/>
      </c>
      <c r="B118" s="14">
        <f>IF(A118="","",EDATE($C$7,101-1))</f>
        <v/>
      </c>
      <c r="C118" s="15">
        <f>H117</f>
        <v/>
      </c>
      <c r="D118" s="15">
        <f>IF(C118&gt;0.005,IF(C118+E118-$C$10&lt;1,C118+E118,$C$10),0)</f>
        <v/>
      </c>
      <c r="E118" s="15">
        <f>IF(C118&gt;0.005,C118*$C$5/1200,0)</f>
        <v/>
      </c>
      <c r="F118" s="15">
        <f>IF(C118&gt;0.005,D118-E118,0)</f>
        <v/>
      </c>
      <c r="G118" s="15">
        <f>IF(C118&gt;0.005,MIN($C$8,C118-F118),0)</f>
        <v/>
      </c>
      <c r="H118" s="15">
        <f>IF(C118&gt;0.005,C118-F118-G118,0)</f>
        <v/>
      </c>
      <c r="I118" s="13">
        <f>IF(A118="","",INT((101-1)/12)+1)</f>
        <v/>
      </c>
    </row>
    <row r="119">
      <c r="A119" s="13">
        <f>IF(C119&gt;0.005,102,"")</f>
        <v/>
      </c>
      <c r="B119" s="14">
        <f>IF(A119="","",EDATE($C$7,102-1))</f>
        <v/>
      </c>
      <c r="C119" s="15">
        <f>H118</f>
        <v/>
      </c>
      <c r="D119" s="15">
        <f>IF(C119&gt;0.005,IF(C119+E119-$C$10&lt;1,C119+E119,$C$10),0)</f>
        <v/>
      </c>
      <c r="E119" s="15">
        <f>IF(C119&gt;0.005,C119*$C$5/1200,0)</f>
        <v/>
      </c>
      <c r="F119" s="15">
        <f>IF(C119&gt;0.005,D119-E119,0)</f>
        <v/>
      </c>
      <c r="G119" s="15">
        <f>IF(C119&gt;0.005,MIN($C$8,C119-F119),0)</f>
        <v/>
      </c>
      <c r="H119" s="15">
        <f>IF(C119&gt;0.005,C119-F119-G119,0)</f>
        <v/>
      </c>
      <c r="I119" s="13">
        <f>IF(A119="","",INT((102-1)/12)+1)</f>
        <v/>
      </c>
    </row>
    <row r="120">
      <c r="A120" s="13">
        <f>IF(C120&gt;0.005,103,"")</f>
        <v/>
      </c>
      <c r="B120" s="14">
        <f>IF(A120="","",EDATE($C$7,103-1))</f>
        <v/>
      </c>
      <c r="C120" s="15">
        <f>H119</f>
        <v/>
      </c>
      <c r="D120" s="15">
        <f>IF(C120&gt;0.005,IF(C120+E120-$C$10&lt;1,C120+E120,$C$10),0)</f>
        <v/>
      </c>
      <c r="E120" s="15">
        <f>IF(C120&gt;0.005,C120*$C$5/1200,0)</f>
        <v/>
      </c>
      <c r="F120" s="15">
        <f>IF(C120&gt;0.005,D120-E120,0)</f>
        <v/>
      </c>
      <c r="G120" s="15">
        <f>IF(C120&gt;0.005,MIN($C$8,C120-F120),0)</f>
        <v/>
      </c>
      <c r="H120" s="15">
        <f>IF(C120&gt;0.005,C120-F120-G120,0)</f>
        <v/>
      </c>
      <c r="I120" s="13">
        <f>IF(A120="","",INT((103-1)/12)+1)</f>
        <v/>
      </c>
    </row>
    <row r="121">
      <c r="A121" s="13">
        <f>IF(C121&gt;0.005,104,"")</f>
        <v/>
      </c>
      <c r="B121" s="14">
        <f>IF(A121="","",EDATE($C$7,104-1))</f>
        <v/>
      </c>
      <c r="C121" s="15">
        <f>H120</f>
        <v/>
      </c>
      <c r="D121" s="15">
        <f>IF(C121&gt;0.005,IF(C121+E121-$C$10&lt;1,C121+E121,$C$10),0)</f>
        <v/>
      </c>
      <c r="E121" s="15">
        <f>IF(C121&gt;0.005,C121*$C$5/1200,0)</f>
        <v/>
      </c>
      <c r="F121" s="15">
        <f>IF(C121&gt;0.005,D121-E121,0)</f>
        <v/>
      </c>
      <c r="G121" s="15">
        <f>IF(C121&gt;0.005,MIN($C$8,C121-F121),0)</f>
        <v/>
      </c>
      <c r="H121" s="15">
        <f>IF(C121&gt;0.005,C121-F121-G121,0)</f>
        <v/>
      </c>
      <c r="I121" s="13">
        <f>IF(A121="","",INT((104-1)/12)+1)</f>
        <v/>
      </c>
    </row>
    <row r="122">
      <c r="A122" s="13">
        <f>IF(C122&gt;0.005,105,"")</f>
        <v/>
      </c>
      <c r="B122" s="14">
        <f>IF(A122="","",EDATE($C$7,105-1))</f>
        <v/>
      </c>
      <c r="C122" s="15">
        <f>H121</f>
        <v/>
      </c>
      <c r="D122" s="15">
        <f>IF(C122&gt;0.005,IF(C122+E122-$C$10&lt;1,C122+E122,$C$10),0)</f>
        <v/>
      </c>
      <c r="E122" s="15">
        <f>IF(C122&gt;0.005,C122*$C$5/1200,0)</f>
        <v/>
      </c>
      <c r="F122" s="15">
        <f>IF(C122&gt;0.005,D122-E122,0)</f>
        <v/>
      </c>
      <c r="G122" s="15">
        <f>IF(C122&gt;0.005,MIN($C$8,C122-F122),0)</f>
        <v/>
      </c>
      <c r="H122" s="15">
        <f>IF(C122&gt;0.005,C122-F122-G122,0)</f>
        <v/>
      </c>
      <c r="I122" s="13">
        <f>IF(A122="","",INT((105-1)/12)+1)</f>
        <v/>
      </c>
    </row>
    <row r="123">
      <c r="A123" s="13">
        <f>IF(C123&gt;0.005,106,"")</f>
        <v/>
      </c>
      <c r="B123" s="14">
        <f>IF(A123="","",EDATE($C$7,106-1))</f>
        <v/>
      </c>
      <c r="C123" s="15">
        <f>H122</f>
        <v/>
      </c>
      <c r="D123" s="15">
        <f>IF(C123&gt;0.005,IF(C123+E123-$C$10&lt;1,C123+E123,$C$10),0)</f>
        <v/>
      </c>
      <c r="E123" s="15">
        <f>IF(C123&gt;0.005,C123*$C$5/1200,0)</f>
        <v/>
      </c>
      <c r="F123" s="15">
        <f>IF(C123&gt;0.005,D123-E123,0)</f>
        <v/>
      </c>
      <c r="G123" s="15">
        <f>IF(C123&gt;0.005,MIN($C$8,C123-F123),0)</f>
        <v/>
      </c>
      <c r="H123" s="15">
        <f>IF(C123&gt;0.005,C123-F123-G123,0)</f>
        <v/>
      </c>
      <c r="I123" s="13">
        <f>IF(A123="","",INT((106-1)/12)+1)</f>
        <v/>
      </c>
    </row>
    <row r="124">
      <c r="A124" s="13">
        <f>IF(C124&gt;0.005,107,"")</f>
        <v/>
      </c>
      <c r="B124" s="14">
        <f>IF(A124="","",EDATE($C$7,107-1))</f>
        <v/>
      </c>
      <c r="C124" s="15">
        <f>H123</f>
        <v/>
      </c>
      <c r="D124" s="15">
        <f>IF(C124&gt;0.005,IF(C124+E124-$C$10&lt;1,C124+E124,$C$10),0)</f>
        <v/>
      </c>
      <c r="E124" s="15">
        <f>IF(C124&gt;0.005,C124*$C$5/1200,0)</f>
        <v/>
      </c>
      <c r="F124" s="15">
        <f>IF(C124&gt;0.005,D124-E124,0)</f>
        <v/>
      </c>
      <c r="G124" s="15">
        <f>IF(C124&gt;0.005,MIN($C$8,C124-F124),0)</f>
        <v/>
      </c>
      <c r="H124" s="15">
        <f>IF(C124&gt;0.005,C124-F124-G124,0)</f>
        <v/>
      </c>
      <c r="I124" s="13">
        <f>IF(A124="","",INT((107-1)/12)+1)</f>
        <v/>
      </c>
    </row>
    <row r="125">
      <c r="A125" s="13">
        <f>IF(C125&gt;0.005,108,"")</f>
        <v/>
      </c>
      <c r="B125" s="14">
        <f>IF(A125="","",EDATE($C$7,108-1))</f>
        <v/>
      </c>
      <c r="C125" s="15">
        <f>H124</f>
        <v/>
      </c>
      <c r="D125" s="15">
        <f>IF(C125&gt;0.005,IF(C125+E125-$C$10&lt;1,C125+E125,$C$10),0)</f>
        <v/>
      </c>
      <c r="E125" s="15">
        <f>IF(C125&gt;0.005,C125*$C$5/1200,0)</f>
        <v/>
      </c>
      <c r="F125" s="15">
        <f>IF(C125&gt;0.005,D125-E125,0)</f>
        <v/>
      </c>
      <c r="G125" s="15">
        <f>IF(C125&gt;0.005,MIN($C$8,C125-F125),0)</f>
        <v/>
      </c>
      <c r="H125" s="15">
        <f>IF(C125&gt;0.005,C125-F125-G125,0)</f>
        <v/>
      </c>
      <c r="I125" s="13">
        <f>IF(A125="","",INT((108-1)/12)+1)</f>
        <v/>
      </c>
    </row>
    <row r="126">
      <c r="A126" s="13">
        <f>IF(C126&gt;0.005,109,"")</f>
        <v/>
      </c>
      <c r="B126" s="14">
        <f>IF(A126="","",EDATE($C$7,109-1))</f>
        <v/>
      </c>
      <c r="C126" s="15">
        <f>H125</f>
        <v/>
      </c>
      <c r="D126" s="15">
        <f>IF(C126&gt;0.005,IF(C126+E126-$C$10&lt;1,C126+E126,$C$10),0)</f>
        <v/>
      </c>
      <c r="E126" s="15">
        <f>IF(C126&gt;0.005,C126*$C$5/1200,0)</f>
        <v/>
      </c>
      <c r="F126" s="15">
        <f>IF(C126&gt;0.005,D126-E126,0)</f>
        <v/>
      </c>
      <c r="G126" s="15">
        <f>IF(C126&gt;0.005,MIN($C$8,C126-F126),0)</f>
        <v/>
      </c>
      <c r="H126" s="15">
        <f>IF(C126&gt;0.005,C126-F126-G126,0)</f>
        <v/>
      </c>
      <c r="I126" s="13">
        <f>IF(A126="","",INT((109-1)/12)+1)</f>
        <v/>
      </c>
    </row>
    <row r="127">
      <c r="A127" s="13">
        <f>IF(C127&gt;0.005,110,"")</f>
        <v/>
      </c>
      <c r="B127" s="14">
        <f>IF(A127="","",EDATE($C$7,110-1))</f>
        <v/>
      </c>
      <c r="C127" s="15">
        <f>H126</f>
        <v/>
      </c>
      <c r="D127" s="15">
        <f>IF(C127&gt;0.005,IF(C127+E127-$C$10&lt;1,C127+E127,$C$10),0)</f>
        <v/>
      </c>
      <c r="E127" s="15">
        <f>IF(C127&gt;0.005,C127*$C$5/1200,0)</f>
        <v/>
      </c>
      <c r="F127" s="15">
        <f>IF(C127&gt;0.005,D127-E127,0)</f>
        <v/>
      </c>
      <c r="G127" s="15">
        <f>IF(C127&gt;0.005,MIN($C$8,C127-F127),0)</f>
        <v/>
      </c>
      <c r="H127" s="15">
        <f>IF(C127&gt;0.005,C127-F127-G127,0)</f>
        <v/>
      </c>
      <c r="I127" s="13">
        <f>IF(A127="","",INT((110-1)/12)+1)</f>
        <v/>
      </c>
    </row>
    <row r="128">
      <c r="A128" s="13">
        <f>IF(C128&gt;0.005,111,"")</f>
        <v/>
      </c>
      <c r="B128" s="14">
        <f>IF(A128="","",EDATE($C$7,111-1))</f>
        <v/>
      </c>
      <c r="C128" s="15">
        <f>H127</f>
        <v/>
      </c>
      <c r="D128" s="15">
        <f>IF(C128&gt;0.005,IF(C128+E128-$C$10&lt;1,C128+E128,$C$10),0)</f>
        <v/>
      </c>
      <c r="E128" s="15">
        <f>IF(C128&gt;0.005,C128*$C$5/1200,0)</f>
        <v/>
      </c>
      <c r="F128" s="15">
        <f>IF(C128&gt;0.005,D128-E128,0)</f>
        <v/>
      </c>
      <c r="G128" s="15">
        <f>IF(C128&gt;0.005,MIN($C$8,C128-F128),0)</f>
        <v/>
      </c>
      <c r="H128" s="15">
        <f>IF(C128&gt;0.005,C128-F128-G128,0)</f>
        <v/>
      </c>
      <c r="I128" s="13">
        <f>IF(A128="","",INT((111-1)/12)+1)</f>
        <v/>
      </c>
    </row>
    <row r="129">
      <c r="A129" s="13">
        <f>IF(C129&gt;0.005,112,"")</f>
        <v/>
      </c>
      <c r="B129" s="14">
        <f>IF(A129="","",EDATE($C$7,112-1))</f>
        <v/>
      </c>
      <c r="C129" s="15">
        <f>H128</f>
        <v/>
      </c>
      <c r="D129" s="15">
        <f>IF(C129&gt;0.005,IF(C129+E129-$C$10&lt;1,C129+E129,$C$10),0)</f>
        <v/>
      </c>
      <c r="E129" s="15">
        <f>IF(C129&gt;0.005,C129*$C$5/1200,0)</f>
        <v/>
      </c>
      <c r="F129" s="15">
        <f>IF(C129&gt;0.005,D129-E129,0)</f>
        <v/>
      </c>
      <c r="G129" s="15">
        <f>IF(C129&gt;0.005,MIN($C$8,C129-F129),0)</f>
        <v/>
      </c>
      <c r="H129" s="15">
        <f>IF(C129&gt;0.005,C129-F129-G129,0)</f>
        <v/>
      </c>
      <c r="I129" s="13">
        <f>IF(A129="","",INT((112-1)/12)+1)</f>
        <v/>
      </c>
    </row>
    <row r="130">
      <c r="A130" s="13">
        <f>IF(C130&gt;0.005,113,"")</f>
        <v/>
      </c>
      <c r="B130" s="14">
        <f>IF(A130="","",EDATE($C$7,113-1))</f>
        <v/>
      </c>
      <c r="C130" s="15">
        <f>H129</f>
        <v/>
      </c>
      <c r="D130" s="15">
        <f>IF(C130&gt;0.005,IF(C130+E130-$C$10&lt;1,C130+E130,$C$10),0)</f>
        <v/>
      </c>
      <c r="E130" s="15">
        <f>IF(C130&gt;0.005,C130*$C$5/1200,0)</f>
        <v/>
      </c>
      <c r="F130" s="15">
        <f>IF(C130&gt;0.005,D130-E130,0)</f>
        <v/>
      </c>
      <c r="G130" s="15">
        <f>IF(C130&gt;0.005,MIN($C$8,C130-F130),0)</f>
        <v/>
      </c>
      <c r="H130" s="15">
        <f>IF(C130&gt;0.005,C130-F130-G130,0)</f>
        <v/>
      </c>
      <c r="I130" s="13">
        <f>IF(A130="","",INT((113-1)/12)+1)</f>
        <v/>
      </c>
    </row>
    <row r="131">
      <c r="A131" s="13">
        <f>IF(C131&gt;0.005,114,"")</f>
        <v/>
      </c>
      <c r="B131" s="14">
        <f>IF(A131="","",EDATE($C$7,114-1))</f>
        <v/>
      </c>
      <c r="C131" s="15">
        <f>H130</f>
        <v/>
      </c>
      <c r="D131" s="15">
        <f>IF(C131&gt;0.005,IF(C131+E131-$C$10&lt;1,C131+E131,$C$10),0)</f>
        <v/>
      </c>
      <c r="E131" s="15">
        <f>IF(C131&gt;0.005,C131*$C$5/1200,0)</f>
        <v/>
      </c>
      <c r="F131" s="15">
        <f>IF(C131&gt;0.005,D131-E131,0)</f>
        <v/>
      </c>
      <c r="G131" s="15">
        <f>IF(C131&gt;0.005,MIN($C$8,C131-F131),0)</f>
        <v/>
      </c>
      <c r="H131" s="15">
        <f>IF(C131&gt;0.005,C131-F131-G131,0)</f>
        <v/>
      </c>
      <c r="I131" s="13">
        <f>IF(A131="","",INT((114-1)/12)+1)</f>
        <v/>
      </c>
    </row>
    <row r="132">
      <c r="A132" s="13">
        <f>IF(C132&gt;0.005,115,"")</f>
        <v/>
      </c>
      <c r="B132" s="14">
        <f>IF(A132="","",EDATE($C$7,115-1))</f>
        <v/>
      </c>
      <c r="C132" s="15">
        <f>H131</f>
        <v/>
      </c>
      <c r="D132" s="15">
        <f>IF(C132&gt;0.005,IF(C132+E132-$C$10&lt;1,C132+E132,$C$10),0)</f>
        <v/>
      </c>
      <c r="E132" s="15">
        <f>IF(C132&gt;0.005,C132*$C$5/1200,0)</f>
        <v/>
      </c>
      <c r="F132" s="15">
        <f>IF(C132&gt;0.005,D132-E132,0)</f>
        <v/>
      </c>
      <c r="G132" s="15">
        <f>IF(C132&gt;0.005,MIN($C$8,C132-F132),0)</f>
        <v/>
      </c>
      <c r="H132" s="15">
        <f>IF(C132&gt;0.005,C132-F132-G132,0)</f>
        <v/>
      </c>
      <c r="I132" s="13">
        <f>IF(A132="","",INT((115-1)/12)+1)</f>
        <v/>
      </c>
    </row>
    <row r="133">
      <c r="A133" s="13">
        <f>IF(C133&gt;0.005,116,"")</f>
        <v/>
      </c>
      <c r="B133" s="14">
        <f>IF(A133="","",EDATE($C$7,116-1))</f>
        <v/>
      </c>
      <c r="C133" s="15">
        <f>H132</f>
        <v/>
      </c>
      <c r="D133" s="15">
        <f>IF(C133&gt;0.005,IF(C133+E133-$C$10&lt;1,C133+E133,$C$10),0)</f>
        <v/>
      </c>
      <c r="E133" s="15">
        <f>IF(C133&gt;0.005,C133*$C$5/1200,0)</f>
        <v/>
      </c>
      <c r="F133" s="15">
        <f>IF(C133&gt;0.005,D133-E133,0)</f>
        <v/>
      </c>
      <c r="G133" s="15">
        <f>IF(C133&gt;0.005,MIN($C$8,C133-F133),0)</f>
        <v/>
      </c>
      <c r="H133" s="15">
        <f>IF(C133&gt;0.005,C133-F133-G133,0)</f>
        <v/>
      </c>
      <c r="I133" s="13">
        <f>IF(A133="","",INT((116-1)/12)+1)</f>
        <v/>
      </c>
    </row>
    <row r="134">
      <c r="A134" s="13">
        <f>IF(C134&gt;0.005,117,"")</f>
        <v/>
      </c>
      <c r="B134" s="14">
        <f>IF(A134="","",EDATE($C$7,117-1))</f>
        <v/>
      </c>
      <c r="C134" s="15">
        <f>H133</f>
        <v/>
      </c>
      <c r="D134" s="15">
        <f>IF(C134&gt;0.005,IF(C134+E134-$C$10&lt;1,C134+E134,$C$10),0)</f>
        <v/>
      </c>
      <c r="E134" s="15">
        <f>IF(C134&gt;0.005,C134*$C$5/1200,0)</f>
        <v/>
      </c>
      <c r="F134" s="15">
        <f>IF(C134&gt;0.005,D134-E134,0)</f>
        <v/>
      </c>
      <c r="G134" s="15">
        <f>IF(C134&gt;0.005,MIN($C$8,C134-F134),0)</f>
        <v/>
      </c>
      <c r="H134" s="15">
        <f>IF(C134&gt;0.005,C134-F134-G134,0)</f>
        <v/>
      </c>
      <c r="I134" s="13">
        <f>IF(A134="","",INT((117-1)/12)+1)</f>
        <v/>
      </c>
    </row>
    <row r="135">
      <c r="A135" s="13">
        <f>IF(C135&gt;0.005,118,"")</f>
        <v/>
      </c>
      <c r="B135" s="14">
        <f>IF(A135="","",EDATE($C$7,118-1))</f>
        <v/>
      </c>
      <c r="C135" s="15">
        <f>H134</f>
        <v/>
      </c>
      <c r="D135" s="15">
        <f>IF(C135&gt;0.005,IF(C135+E135-$C$10&lt;1,C135+E135,$C$10),0)</f>
        <v/>
      </c>
      <c r="E135" s="15">
        <f>IF(C135&gt;0.005,C135*$C$5/1200,0)</f>
        <v/>
      </c>
      <c r="F135" s="15">
        <f>IF(C135&gt;0.005,D135-E135,0)</f>
        <v/>
      </c>
      <c r="G135" s="15">
        <f>IF(C135&gt;0.005,MIN($C$8,C135-F135),0)</f>
        <v/>
      </c>
      <c r="H135" s="15">
        <f>IF(C135&gt;0.005,C135-F135-G135,0)</f>
        <v/>
      </c>
      <c r="I135" s="13">
        <f>IF(A135="","",INT((118-1)/12)+1)</f>
        <v/>
      </c>
    </row>
    <row r="136">
      <c r="A136" s="13">
        <f>IF(C136&gt;0.005,119,"")</f>
        <v/>
      </c>
      <c r="B136" s="14">
        <f>IF(A136="","",EDATE($C$7,119-1))</f>
        <v/>
      </c>
      <c r="C136" s="15">
        <f>H135</f>
        <v/>
      </c>
      <c r="D136" s="15">
        <f>IF(C136&gt;0.005,IF(C136+E136-$C$10&lt;1,C136+E136,$C$10),0)</f>
        <v/>
      </c>
      <c r="E136" s="15">
        <f>IF(C136&gt;0.005,C136*$C$5/1200,0)</f>
        <v/>
      </c>
      <c r="F136" s="15">
        <f>IF(C136&gt;0.005,D136-E136,0)</f>
        <v/>
      </c>
      <c r="G136" s="15">
        <f>IF(C136&gt;0.005,MIN($C$8,C136-F136),0)</f>
        <v/>
      </c>
      <c r="H136" s="15">
        <f>IF(C136&gt;0.005,C136-F136-G136,0)</f>
        <v/>
      </c>
      <c r="I136" s="13">
        <f>IF(A136="","",INT((119-1)/12)+1)</f>
        <v/>
      </c>
    </row>
    <row r="137">
      <c r="A137" s="13">
        <f>IF(C137&gt;0.005,120,"")</f>
        <v/>
      </c>
      <c r="B137" s="14">
        <f>IF(A137="","",EDATE($C$7,120-1))</f>
        <v/>
      </c>
      <c r="C137" s="15">
        <f>H136</f>
        <v/>
      </c>
      <c r="D137" s="15">
        <f>IF(C137&gt;0.005,IF(C137+E137-$C$10&lt;1,C137+E137,$C$10),0)</f>
        <v/>
      </c>
      <c r="E137" s="15">
        <f>IF(C137&gt;0.005,C137*$C$5/1200,0)</f>
        <v/>
      </c>
      <c r="F137" s="15">
        <f>IF(C137&gt;0.005,D137-E137,0)</f>
        <v/>
      </c>
      <c r="G137" s="15">
        <f>IF(C137&gt;0.005,MIN($C$8,C137-F137),0)</f>
        <v/>
      </c>
      <c r="H137" s="15">
        <f>IF(C137&gt;0.005,C137-F137-G137,0)</f>
        <v/>
      </c>
      <c r="I137" s="13">
        <f>IF(A137="","",INT((120-1)/12)+1)</f>
        <v/>
      </c>
    </row>
    <row r="138">
      <c r="A138" s="13">
        <f>IF(C138&gt;0.005,121,"")</f>
        <v/>
      </c>
      <c r="B138" s="14">
        <f>IF(A138="","",EDATE($C$7,121-1))</f>
        <v/>
      </c>
      <c r="C138" s="15">
        <f>H137</f>
        <v/>
      </c>
      <c r="D138" s="15">
        <f>IF(C138&gt;0.005,IF(C138+E138-$C$10&lt;1,C138+E138,$C$10),0)</f>
        <v/>
      </c>
      <c r="E138" s="15">
        <f>IF(C138&gt;0.005,C138*$C$5/1200,0)</f>
        <v/>
      </c>
      <c r="F138" s="15">
        <f>IF(C138&gt;0.005,D138-E138,0)</f>
        <v/>
      </c>
      <c r="G138" s="15">
        <f>IF(C138&gt;0.005,MIN($C$8,C138-F138),0)</f>
        <v/>
      </c>
      <c r="H138" s="15">
        <f>IF(C138&gt;0.005,C138-F138-G138,0)</f>
        <v/>
      </c>
      <c r="I138" s="13">
        <f>IF(A138="","",INT((121-1)/12)+1)</f>
        <v/>
      </c>
    </row>
    <row r="139">
      <c r="A139" s="13">
        <f>IF(C139&gt;0.005,122,"")</f>
        <v/>
      </c>
      <c r="B139" s="14">
        <f>IF(A139="","",EDATE($C$7,122-1))</f>
        <v/>
      </c>
      <c r="C139" s="15">
        <f>H138</f>
        <v/>
      </c>
      <c r="D139" s="15">
        <f>IF(C139&gt;0.005,IF(C139+E139-$C$10&lt;1,C139+E139,$C$10),0)</f>
        <v/>
      </c>
      <c r="E139" s="15">
        <f>IF(C139&gt;0.005,C139*$C$5/1200,0)</f>
        <v/>
      </c>
      <c r="F139" s="15">
        <f>IF(C139&gt;0.005,D139-E139,0)</f>
        <v/>
      </c>
      <c r="G139" s="15">
        <f>IF(C139&gt;0.005,MIN($C$8,C139-F139),0)</f>
        <v/>
      </c>
      <c r="H139" s="15">
        <f>IF(C139&gt;0.005,C139-F139-G139,0)</f>
        <v/>
      </c>
      <c r="I139" s="13">
        <f>IF(A139="","",INT((122-1)/12)+1)</f>
        <v/>
      </c>
    </row>
    <row r="140">
      <c r="A140" s="13">
        <f>IF(C140&gt;0.005,123,"")</f>
        <v/>
      </c>
      <c r="B140" s="14">
        <f>IF(A140="","",EDATE($C$7,123-1))</f>
        <v/>
      </c>
      <c r="C140" s="15">
        <f>H139</f>
        <v/>
      </c>
      <c r="D140" s="15">
        <f>IF(C140&gt;0.005,IF(C140+E140-$C$10&lt;1,C140+E140,$C$10),0)</f>
        <v/>
      </c>
      <c r="E140" s="15">
        <f>IF(C140&gt;0.005,C140*$C$5/1200,0)</f>
        <v/>
      </c>
      <c r="F140" s="15">
        <f>IF(C140&gt;0.005,D140-E140,0)</f>
        <v/>
      </c>
      <c r="G140" s="15">
        <f>IF(C140&gt;0.005,MIN($C$8,C140-F140),0)</f>
        <v/>
      </c>
      <c r="H140" s="15">
        <f>IF(C140&gt;0.005,C140-F140-G140,0)</f>
        <v/>
      </c>
      <c r="I140" s="13">
        <f>IF(A140="","",INT((123-1)/12)+1)</f>
        <v/>
      </c>
    </row>
    <row r="141">
      <c r="A141" s="13">
        <f>IF(C141&gt;0.005,124,"")</f>
        <v/>
      </c>
      <c r="B141" s="14">
        <f>IF(A141="","",EDATE($C$7,124-1))</f>
        <v/>
      </c>
      <c r="C141" s="15">
        <f>H140</f>
        <v/>
      </c>
      <c r="D141" s="15">
        <f>IF(C141&gt;0.005,IF(C141+E141-$C$10&lt;1,C141+E141,$C$10),0)</f>
        <v/>
      </c>
      <c r="E141" s="15">
        <f>IF(C141&gt;0.005,C141*$C$5/1200,0)</f>
        <v/>
      </c>
      <c r="F141" s="15">
        <f>IF(C141&gt;0.005,D141-E141,0)</f>
        <v/>
      </c>
      <c r="G141" s="15">
        <f>IF(C141&gt;0.005,MIN($C$8,C141-F141),0)</f>
        <v/>
      </c>
      <c r="H141" s="15">
        <f>IF(C141&gt;0.005,C141-F141-G141,0)</f>
        <v/>
      </c>
      <c r="I141" s="13">
        <f>IF(A141="","",INT((124-1)/12)+1)</f>
        <v/>
      </c>
    </row>
    <row r="142">
      <c r="A142" s="13">
        <f>IF(C142&gt;0.005,125,"")</f>
        <v/>
      </c>
      <c r="B142" s="14">
        <f>IF(A142="","",EDATE($C$7,125-1))</f>
        <v/>
      </c>
      <c r="C142" s="15">
        <f>H141</f>
        <v/>
      </c>
      <c r="D142" s="15">
        <f>IF(C142&gt;0.005,IF(C142+E142-$C$10&lt;1,C142+E142,$C$10),0)</f>
        <v/>
      </c>
      <c r="E142" s="15">
        <f>IF(C142&gt;0.005,C142*$C$5/1200,0)</f>
        <v/>
      </c>
      <c r="F142" s="15">
        <f>IF(C142&gt;0.005,D142-E142,0)</f>
        <v/>
      </c>
      <c r="G142" s="15">
        <f>IF(C142&gt;0.005,MIN($C$8,C142-F142),0)</f>
        <v/>
      </c>
      <c r="H142" s="15">
        <f>IF(C142&gt;0.005,C142-F142-G142,0)</f>
        <v/>
      </c>
      <c r="I142" s="13">
        <f>IF(A142="","",INT((125-1)/12)+1)</f>
        <v/>
      </c>
    </row>
    <row r="143">
      <c r="A143" s="13">
        <f>IF(C143&gt;0.005,126,"")</f>
        <v/>
      </c>
      <c r="B143" s="14">
        <f>IF(A143="","",EDATE($C$7,126-1))</f>
        <v/>
      </c>
      <c r="C143" s="15">
        <f>H142</f>
        <v/>
      </c>
      <c r="D143" s="15">
        <f>IF(C143&gt;0.005,IF(C143+E143-$C$10&lt;1,C143+E143,$C$10),0)</f>
        <v/>
      </c>
      <c r="E143" s="15">
        <f>IF(C143&gt;0.005,C143*$C$5/1200,0)</f>
        <v/>
      </c>
      <c r="F143" s="15">
        <f>IF(C143&gt;0.005,D143-E143,0)</f>
        <v/>
      </c>
      <c r="G143" s="15">
        <f>IF(C143&gt;0.005,MIN($C$8,C143-F143),0)</f>
        <v/>
      </c>
      <c r="H143" s="15">
        <f>IF(C143&gt;0.005,C143-F143-G143,0)</f>
        <v/>
      </c>
      <c r="I143" s="13">
        <f>IF(A143="","",INT((126-1)/12)+1)</f>
        <v/>
      </c>
    </row>
    <row r="144">
      <c r="A144" s="13">
        <f>IF(C144&gt;0.005,127,"")</f>
        <v/>
      </c>
      <c r="B144" s="14">
        <f>IF(A144="","",EDATE($C$7,127-1))</f>
        <v/>
      </c>
      <c r="C144" s="15">
        <f>H143</f>
        <v/>
      </c>
      <c r="D144" s="15">
        <f>IF(C144&gt;0.005,IF(C144+E144-$C$10&lt;1,C144+E144,$C$10),0)</f>
        <v/>
      </c>
      <c r="E144" s="15">
        <f>IF(C144&gt;0.005,C144*$C$5/1200,0)</f>
        <v/>
      </c>
      <c r="F144" s="15">
        <f>IF(C144&gt;0.005,D144-E144,0)</f>
        <v/>
      </c>
      <c r="G144" s="15">
        <f>IF(C144&gt;0.005,MIN($C$8,C144-F144),0)</f>
        <v/>
      </c>
      <c r="H144" s="15">
        <f>IF(C144&gt;0.005,C144-F144-G144,0)</f>
        <v/>
      </c>
      <c r="I144" s="13">
        <f>IF(A144="","",INT((127-1)/12)+1)</f>
        <v/>
      </c>
    </row>
    <row r="145">
      <c r="A145" s="13">
        <f>IF(C145&gt;0.005,128,"")</f>
        <v/>
      </c>
      <c r="B145" s="14">
        <f>IF(A145="","",EDATE($C$7,128-1))</f>
        <v/>
      </c>
      <c r="C145" s="15">
        <f>H144</f>
        <v/>
      </c>
      <c r="D145" s="15">
        <f>IF(C145&gt;0.005,IF(C145+E145-$C$10&lt;1,C145+E145,$C$10),0)</f>
        <v/>
      </c>
      <c r="E145" s="15">
        <f>IF(C145&gt;0.005,C145*$C$5/1200,0)</f>
        <v/>
      </c>
      <c r="F145" s="15">
        <f>IF(C145&gt;0.005,D145-E145,0)</f>
        <v/>
      </c>
      <c r="G145" s="15">
        <f>IF(C145&gt;0.005,MIN($C$8,C145-F145),0)</f>
        <v/>
      </c>
      <c r="H145" s="15">
        <f>IF(C145&gt;0.005,C145-F145-G145,0)</f>
        <v/>
      </c>
      <c r="I145" s="13">
        <f>IF(A145="","",INT((128-1)/12)+1)</f>
        <v/>
      </c>
    </row>
    <row r="146">
      <c r="A146" s="13">
        <f>IF(C146&gt;0.005,129,"")</f>
        <v/>
      </c>
      <c r="B146" s="14">
        <f>IF(A146="","",EDATE($C$7,129-1))</f>
        <v/>
      </c>
      <c r="C146" s="15">
        <f>H145</f>
        <v/>
      </c>
      <c r="D146" s="15">
        <f>IF(C146&gt;0.005,IF(C146+E146-$C$10&lt;1,C146+E146,$C$10),0)</f>
        <v/>
      </c>
      <c r="E146" s="15">
        <f>IF(C146&gt;0.005,C146*$C$5/1200,0)</f>
        <v/>
      </c>
      <c r="F146" s="15">
        <f>IF(C146&gt;0.005,D146-E146,0)</f>
        <v/>
      </c>
      <c r="G146" s="15">
        <f>IF(C146&gt;0.005,MIN($C$8,C146-F146),0)</f>
        <v/>
      </c>
      <c r="H146" s="15">
        <f>IF(C146&gt;0.005,C146-F146-G146,0)</f>
        <v/>
      </c>
      <c r="I146" s="13">
        <f>IF(A146="","",INT((129-1)/12)+1)</f>
        <v/>
      </c>
    </row>
    <row r="147">
      <c r="A147" s="13">
        <f>IF(C147&gt;0.005,130,"")</f>
        <v/>
      </c>
      <c r="B147" s="14">
        <f>IF(A147="","",EDATE($C$7,130-1))</f>
        <v/>
      </c>
      <c r="C147" s="15">
        <f>H146</f>
        <v/>
      </c>
      <c r="D147" s="15">
        <f>IF(C147&gt;0.005,IF(C147+E147-$C$10&lt;1,C147+E147,$C$10),0)</f>
        <v/>
      </c>
      <c r="E147" s="15">
        <f>IF(C147&gt;0.005,C147*$C$5/1200,0)</f>
        <v/>
      </c>
      <c r="F147" s="15">
        <f>IF(C147&gt;0.005,D147-E147,0)</f>
        <v/>
      </c>
      <c r="G147" s="15">
        <f>IF(C147&gt;0.005,MIN($C$8,C147-F147),0)</f>
        <v/>
      </c>
      <c r="H147" s="15">
        <f>IF(C147&gt;0.005,C147-F147-G147,0)</f>
        <v/>
      </c>
      <c r="I147" s="13">
        <f>IF(A147="","",INT((130-1)/12)+1)</f>
        <v/>
      </c>
    </row>
    <row r="148">
      <c r="A148" s="13">
        <f>IF(C148&gt;0.005,131,"")</f>
        <v/>
      </c>
      <c r="B148" s="14">
        <f>IF(A148="","",EDATE($C$7,131-1))</f>
        <v/>
      </c>
      <c r="C148" s="15">
        <f>H147</f>
        <v/>
      </c>
      <c r="D148" s="15">
        <f>IF(C148&gt;0.005,IF(C148+E148-$C$10&lt;1,C148+E148,$C$10),0)</f>
        <v/>
      </c>
      <c r="E148" s="15">
        <f>IF(C148&gt;0.005,C148*$C$5/1200,0)</f>
        <v/>
      </c>
      <c r="F148" s="15">
        <f>IF(C148&gt;0.005,D148-E148,0)</f>
        <v/>
      </c>
      <c r="G148" s="15">
        <f>IF(C148&gt;0.005,MIN($C$8,C148-F148),0)</f>
        <v/>
      </c>
      <c r="H148" s="15">
        <f>IF(C148&gt;0.005,C148-F148-G148,0)</f>
        <v/>
      </c>
      <c r="I148" s="13">
        <f>IF(A148="","",INT((131-1)/12)+1)</f>
        <v/>
      </c>
    </row>
    <row r="149">
      <c r="A149" s="13">
        <f>IF(C149&gt;0.005,132,"")</f>
        <v/>
      </c>
      <c r="B149" s="14">
        <f>IF(A149="","",EDATE($C$7,132-1))</f>
        <v/>
      </c>
      <c r="C149" s="15">
        <f>H148</f>
        <v/>
      </c>
      <c r="D149" s="15">
        <f>IF(C149&gt;0.005,IF(C149+E149-$C$10&lt;1,C149+E149,$C$10),0)</f>
        <v/>
      </c>
      <c r="E149" s="15">
        <f>IF(C149&gt;0.005,C149*$C$5/1200,0)</f>
        <v/>
      </c>
      <c r="F149" s="15">
        <f>IF(C149&gt;0.005,D149-E149,0)</f>
        <v/>
      </c>
      <c r="G149" s="15">
        <f>IF(C149&gt;0.005,MIN($C$8,C149-F149),0)</f>
        <v/>
      </c>
      <c r="H149" s="15">
        <f>IF(C149&gt;0.005,C149-F149-G149,0)</f>
        <v/>
      </c>
      <c r="I149" s="13">
        <f>IF(A149="","",INT((132-1)/12)+1)</f>
        <v/>
      </c>
    </row>
    <row r="150">
      <c r="A150" s="13">
        <f>IF(C150&gt;0.005,133,"")</f>
        <v/>
      </c>
      <c r="B150" s="14">
        <f>IF(A150="","",EDATE($C$7,133-1))</f>
        <v/>
      </c>
      <c r="C150" s="15">
        <f>H149</f>
        <v/>
      </c>
      <c r="D150" s="15">
        <f>IF(C150&gt;0.005,IF(C150+E150-$C$10&lt;1,C150+E150,$C$10),0)</f>
        <v/>
      </c>
      <c r="E150" s="15">
        <f>IF(C150&gt;0.005,C150*$C$5/1200,0)</f>
        <v/>
      </c>
      <c r="F150" s="15">
        <f>IF(C150&gt;0.005,D150-E150,0)</f>
        <v/>
      </c>
      <c r="G150" s="15">
        <f>IF(C150&gt;0.005,MIN($C$8,C150-F150),0)</f>
        <v/>
      </c>
      <c r="H150" s="15">
        <f>IF(C150&gt;0.005,C150-F150-G150,0)</f>
        <v/>
      </c>
      <c r="I150" s="13">
        <f>IF(A150="","",INT((133-1)/12)+1)</f>
        <v/>
      </c>
    </row>
    <row r="151">
      <c r="A151" s="13">
        <f>IF(C151&gt;0.005,134,"")</f>
        <v/>
      </c>
      <c r="B151" s="14">
        <f>IF(A151="","",EDATE($C$7,134-1))</f>
        <v/>
      </c>
      <c r="C151" s="15">
        <f>H150</f>
        <v/>
      </c>
      <c r="D151" s="15">
        <f>IF(C151&gt;0.005,IF(C151+E151-$C$10&lt;1,C151+E151,$C$10),0)</f>
        <v/>
      </c>
      <c r="E151" s="15">
        <f>IF(C151&gt;0.005,C151*$C$5/1200,0)</f>
        <v/>
      </c>
      <c r="F151" s="15">
        <f>IF(C151&gt;0.005,D151-E151,0)</f>
        <v/>
      </c>
      <c r="G151" s="15">
        <f>IF(C151&gt;0.005,MIN($C$8,C151-F151),0)</f>
        <v/>
      </c>
      <c r="H151" s="15">
        <f>IF(C151&gt;0.005,C151-F151-G151,0)</f>
        <v/>
      </c>
      <c r="I151" s="13">
        <f>IF(A151="","",INT((134-1)/12)+1)</f>
        <v/>
      </c>
    </row>
    <row r="152">
      <c r="A152" s="13">
        <f>IF(C152&gt;0.005,135,"")</f>
        <v/>
      </c>
      <c r="B152" s="14">
        <f>IF(A152="","",EDATE($C$7,135-1))</f>
        <v/>
      </c>
      <c r="C152" s="15">
        <f>H151</f>
        <v/>
      </c>
      <c r="D152" s="15">
        <f>IF(C152&gt;0.005,IF(C152+E152-$C$10&lt;1,C152+E152,$C$10),0)</f>
        <v/>
      </c>
      <c r="E152" s="15">
        <f>IF(C152&gt;0.005,C152*$C$5/1200,0)</f>
        <v/>
      </c>
      <c r="F152" s="15">
        <f>IF(C152&gt;0.005,D152-E152,0)</f>
        <v/>
      </c>
      <c r="G152" s="15">
        <f>IF(C152&gt;0.005,MIN($C$8,C152-F152),0)</f>
        <v/>
      </c>
      <c r="H152" s="15">
        <f>IF(C152&gt;0.005,C152-F152-G152,0)</f>
        <v/>
      </c>
      <c r="I152" s="13">
        <f>IF(A152="","",INT((135-1)/12)+1)</f>
        <v/>
      </c>
    </row>
    <row r="153">
      <c r="A153" s="13">
        <f>IF(C153&gt;0.005,136,"")</f>
        <v/>
      </c>
      <c r="B153" s="14">
        <f>IF(A153="","",EDATE($C$7,136-1))</f>
        <v/>
      </c>
      <c r="C153" s="15">
        <f>H152</f>
        <v/>
      </c>
      <c r="D153" s="15">
        <f>IF(C153&gt;0.005,IF(C153+E153-$C$10&lt;1,C153+E153,$C$10),0)</f>
        <v/>
      </c>
      <c r="E153" s="15">
        <f>IF(C153&gt;0.005,C153*$C$5/1200,0)</f>
        <v/>
      </c>
      <c r="F153" s="15">
        <f>IF(C153&gt;0.005,D153-E153,0)</f>
        <v/>
      </c>
      <c r="G153" s="15">
        <f>IF(C153&gt;0.005,MIN($C$8,C153-F153),0)</f>
        <v/>
      </c>
      <c r="H153" s="15">
        <f>IF(C153&gt;0.005,C153-F153-G153,0)</f>
        <v/>
      </c>
      <c r="I153" s="13">
        <f>IF(A153="","",INT((136-1)/12)+1)</f>
        <v/>
      </c>
    </row>
    <row r="154">
      <c r="A154" s="13">
        <f>IF(C154&gt;0.005,137,"")</f>
        <v/>
      </c>
      <c r="B154" s="14">
        <f>IF(A154="","",EDATE($C$7,137-1))</f>
        <v/>
      </c>
      <c r="C154" s="15">
        <f>H153</f>
        <v/>
      </c>
      <c r="D154" s="15">
        <f>IF(C154&gt;0.005,IF(C154+E154-$C$10&lt;1,C154+E154,$C$10),0)</f>
        <v/>
      </c>
      <c r="E154" s="15">
        <f>IF(C154&gt;0.005,C154*$C$5/1200,0)</f>
        <v/>
      </c>
      <c r="F154" s="15">
        <f>IF(C154&gt;0.005,D154-E154,0)</f>
        <v/>
      </c>
      <c r="G154" s="15">
        <f>IF(C154&gt;0.005,MIN($C$8,C154-F154),0)</f>
        <v/>
      </c>
      <c r="H154" s="15">
        <f>IF(C154&gt;0.005,C154-F154-G154,0)</f>
        <v/>
      </c>
      <c r="I154" s="13">
        <f>IF(A154="","",INT((137-1)/12)+1)</f>
        <v/>
      </c>
    </row>
    <row r="155">
      <c r="A155" s="13">
        <f>IF(C155&gt;0.005,138,"")</f>
        <v/>
      </c>
      <c r="B155" s="14">
        <f>IF(A155="","",EDATE($C$7,138-1))</f>
        <v/>
      </c>
      <c r="C155" s="15">
        <f>H154</f>
        <v/>
      </c>
      <c r="D155" s="15">
        <f>IF(C155&gt;0.005,IF(C155+E155-$C$10&lt;1,C155+E155,$C$10),0)</f>
        <v/>
      </c>
      <c r="E155" s="15">
        <f>IF(C155&gt;0.005,C155*$C$5/1200,0)</f>
        <v/>
      </c>
      <c r="F155" s="15">
        <f>IF(C155&gt;0.005,D155-E155,0)</f>
        <v/>
      </c>
      <c r="G155" s="15">
        <f>IF(C155&gt;0.005,MIN($C$8,C155-F155),0)</f>
        <v/>
      </c>
      <c r="H155" s="15">
        <f>IF(C155&gt;0.005,C155-F155-G155,0)</f>
        <v/>
      </c>
      <c r="I155" s="13">
        <f>IF(A155="","",INT((138-1)/12)+1)</f>
        <v/>
      </c>
    </row>
    <row r="156">
      <c r="A156" s="13">
        <f>IF(C156&gt;0.005,139,"")</f>
        <v/>
      </c>
      <c r="B156" s="14">
        <f>IF(A156="","",EDATE($C$7,139-1))</f>
        <v/>
      </c>
      <c r="C156" s="15">
        <f>H155</f>
        <v/>
      </c>
      <c r="D156" s="15">
        <f>IF(C156&gt;0.005,IF(C156+E156-$C$10&lt;1,C156+E156,$C$10),0)</f>
        <v/>
      </c>
      <c r="E156" s="15">
        <f>IF(C156&gt;0.005,C156*$C$5/1200,0)</f>
        <v/>
      </c>
      <c r="F156" s="15">
        <f>IF(C156&gt;0.005,D156-E156,0)</f>
        <v/>
      </c>
      <c r="G156" s="15">
        <f>IF(C156&gt;0.005,MIN($C$8,C156-F156),0)</f>
        <v/>
      </c>
      <c r="H156" s="15">
        <f>IF(C156&gt;0.005,C156-F156-G156,0)</f>
        <v/>
      </c>
      <c r="I156" s="13">
        <f>IF(A156="","",INT((139-1)/12)+1)</f>
        <v/>
      </c>
    </row>
    <row r="157">
      <c r="A157" s="13">
        <f>IF(C157&gt;0.005,140,"")</f>
        <v/>
      </c>
      <c r="B157" s="14">
        <f>IF(A157="","",EDATE($C$7,140-1))</f>
        <v/>
      </c>
      <c r="C157" s="15">
        <f>H156</f>
        <v/>
      </c>
      <c r="D157" s="15">
        <f>IF(C157&gt;0.005,IF(C157+E157-$C$10&lt;1,C157+E157,$C$10),0)</f>
        <v/>
      </c>
      <c r="E157" s="15">
        <f>IF(C157&gt;0.005,C157*$C$5/1200,0)</f>
        <v/>
      </c>
      <c r="F157" s="15">
        <f>IF(C157&gt;0.005,D157-E157,0)</f>
        <v/>
      </c>
      <c r="G157" s="15">
        <f>IF(C157&gt;0.005,MIN($C$8,C157-F157),0)</f>
        <v/>
      </c>
      <c r="H157" s="15">
        <f>IF(C157&gt;0.005,C157-F157-G157,0)</f>
        <v/>
      </c>
      <c r="I157" s="13">
        <f>IF(A157="","",INT((140-1)/12)+1)</f>
        <v/>
      </c>
    </row>
    <row r="158">
      <c r="A158" s="13">
        <f>IF(C158&gt;0.005,141,"")</f>
        <v/>
      </c>
      <c r="B158" s="14">
        <f>IF(A158="","",EDATE($C$7,141-1))</f>
        <v/>
      </c>
      <c r="C158" s="15">
        <f>H157</f>
        <v/>
      </c>
      <c r="D158" s="15">
        <f>IF(C158&gt;0.005,IF(C158+E158-$C$10&lt;1,C158+E158,$C$10),0)</f>
        <v/>
      </c>
      <c r="E158" s="15">
        <f>IF(C158&gt;0.005,C158*$C$5/1200,0)</f>
        <v/>
      </c>
      <c r="F158" s="15">
        <f>IF(C158&gt;0.005,D158-E158,0)</f>
        <v/>
      </c>
      <c r="G158" s="15">
        <f>IF(C158&gt;0.005,MIN($C$8,C158-F158),0)</f>
        <v/>
      </c>
      <c r="H158" s="15">
        <f>IF(C158&gt;0.005,C158-F158-G158,0)</f>
        <v/>
      </c>
      <c r="I158" s="13">
        <f>IF(A158="","",INT((141-1)/12)+1)</f>
        <v/>
      </c>
    </row>
    <row r="159">
      <c r="A159" s="13">
        <f>IF(C159&gt;0.005,142,"")</f>
        <v/>
      </c>
      <c r="B159" s="14">
        <f>IF(A159="","",EDATE($C$7,142-1))</f>
        <v/>
      </c>
      <c r="C159" s="15">
        <f>H158</f>
        <v/>
      </c>
      <c r="D159" s="15">
        <f>IF(C159&gt;0.005,IF(C159+E159-$C$10&lt;1,C159+E159,$C$10),0)</f>
        <v/>
      </c>
      <c r="E159" s="15">
        <f>IF(C159&gt;0.005,C159*$C$5/1200,0)</f>
        <v/>
      </c>
      <c r="F159" s="15">
        <f>IF(C159&gt;0.005,D159-E159,0)</f>
        <v/>
      </c>
      <c r="G159" s="15">
        <f>IF(C159&gt;0.005,MIN($C$8,C159-F159),0)</f>
        <v/>
      </c>
      <c r="H159" s="15">
        <f>IF(C159&gt;0.005,C159-F159-G159,0)</f>
        <v/>
      </c>
      <c r="I159" s="13">
        <f>IF(A159="","",INT((142-1)/12)+1)</f>
        <v/>
      </c>
    </row>
    <row r="160">
      <c r="A160" s="13">
        <f>IF(C160&gt;0.005,143,"")</f>
        <v/>
      </c>
      <c r="B160" s="14">
        <f>IF(A160="","",EDATE($C$7,143-1))</f>
        <v/>
      </c>
      <c r="C160" s="15">
        <f>H159</f>
        <v/>
      </c>
      <c r="D160" s="15">
        <f>IF(C160&gt;0.005,IF(C160+E160-$C$10&lt;1,C160+E160,$C$10),0)</f>
        <v/>
      </c>
      <c r="E160" s="15">
        <f>IF(C160&gt;0.005,C160*$C$5/1200,0)</f>
        <v/>
      </c>
      <c r="F160" s="15">
        <f>IF(C160&gt;0.005,D160-E160,0)</f>
        <v/>
      </c>
      <c r="G160" s="15">
        <f>IF(C160&gt;0.005,MIN($C$8,C160-F160),0)</f>
        <v/>
      </c>
      <c r="H160" s="15">
        <f>IF(C160&gt;0.005,C160-F160-G160,0)</f>
        <v/>
      </c>
      <c r="I160" s="13">
        <f>IF(A160="","",INT((143-1)/12)+1)</f>
        <v/>
      </c>
    </row>
    <row r="161">
      <c r="A161" s="13">
        <f>IF(C161&gt;0.005,144,"")</f>
        <v/>
      </c>
      <c r="B161" s="14">
        <f>IF(A161="","",EDATE($C$7,144-1))</f>
        <v/>
      </c>
      <c r="C161" s="15">
        <f>H160</f>
        <v/>
      </c>
      <c r="D161" s="15">
        <f>IF(C161&gt;0.005,IF(C161+E161-$C$10&lt;1,C161+E161,$C$10),0)</f>
        <v/>
      </c>
      <c r="E161" s="15">
        <f>IF(C161&gt;0.005,C161*$C$5/1200,0)</f>
        <v/>
      </c>
      <c r="F161" s="15">
        <f>IF(C161&gt;0.005,D161-E161,0)</f>
        <v/>
      </c>
      <c r="G161" s="15">
        <f>IF(C161&gt;0.005,MIN($C$8,C161-F161),0)</f>
        <v/>
      </c>
      <c r="H161" s="15">
        <f>IF(C161&gt;0.005,C161-F161-G161,0)</f>
        <v/>
      </c>
      <c r="I161" s="13">
        <f>IF(A161="","",INT((144-1)/12)+1)</f>
        <v/>
      </c>
    </row>
    <row r="162">
      <c r="A162" s="13">
        <f>IF(C162&gt;0.005,145,"")</f>
        <v/>
      </c>
      <c r="B162" s="14">
        <f>IF(A162="","",EDATE($C$7,145-1))</f>
        <v/>
      </c>
      <c r="C162" s="15">
        <f>H161</f>
        <v/>
      </c>
      <c r="D162" s="15">
        <f>IF(C162&gt;0.005,IF(C162+E162-$C$10&lt;1,C162+E162,$C$10),0)</f>
        <v/>
      </c>
      <c r="E162" s="15">
        <f>IF(C162&gt;0.005,C162*$C$5/1200,0)</f>
        <v/>
      </c>
      <c r="F162" s="15">
        <f>IF(C162&gt;0.005,D162-E162,0)</f>
        <v/>
      </c>
      <c r="G162" s="15">
        <f>IF(C162&gt;0.005,MIN($C$8,C162-F162),0)</f>
        <v/>
      </c>
      <c r="H162" s="15">
        <f>IF(C162&gt;0.005,C162-F162-G162,0)</f>
        <v/>
      </c>
      <c r="I162" s="13">
        <f>IF(A162="","",INT((145-1)/12)+1)</f>
        <v/>
      </c>
    </row>
    <row r="163">
      <c r="A163" s="13">
        <f>IF(C163&gt;0.005,146,"")</f>
        <v/>
      </c>
      <c r="B163" s="14">
        <f>IF(A163="","",EDATE($C$7,146-1))</f>
        <v/>
      </c>
      <c r="C163" s="15">
        <f>H162</f>
        <v/>
      </c>
      <c r="D163" s="15">
        <f>IF(C163&gt;0.005,IF(C163+E163-$C$10&lt;1,C163+E163,$C$10),0)</f>
        <v/>
      </c>
      <c r="E163" s="15">
        <f>IF(C163&gt;0.005,C163*$C$5/1200,0)</f>
        <v/>
      </c>
      <c r="F163" s="15">
        <f>IF(C163&gt;0.005,D163-E163,0)</f>
        <v/>
      </c>
      <c r="G163" s="15">
        <f>IF(C163&gt;0.005,MIN($C$8,C163-F163),0)</f>
        <v/>
      </c>
      <c r="H163" s="15">
        <f>IF(C163&gt;0.005,C163-F163-G163,0)</f>
        <v/>
      </c>
      <c r="I163" s="13">
        <f>IF(A163="","",INT((146-1)/12)+1)</f>
        <v/>
      </c>
    </row>
    <row r="164">
      <c r="A164" s="13">
        <f>IF(C164&gt;0.005,147,"")</f>
        <v/>
      </c>
      <c r="B164" s="14">
        <f>IF(A164="","",EDATE($C$7,147-1))</f>
        <v/>
      </c>
      <c r="C164" s="15">
        <f>H163</f>
        <v/>
      </c>
      <c r="D164" s="15">
        <f>IF(C164&gt;0.005,IF(C164+E164-$C$10&lt;1,C164+E164,$C$10),0)</f>
        <v/>
      </c>
      <c r="E164" s="15">
        <f>IF(C164&gt;0.005,C164*$C$5/1200,0)</f>
        <v/>
      </c>
      <c r="F164" s="15">
        <f>IF(C164&gt;0.005,D164-E164,0)</f>
        <v/>
      </c>
      <c r="G164" s="15">
        <f>IF(C164&gt;0.005,MIN($C$8,C164-F164),0)</f>
        <v/>
      </c>
      <c r="H164" s="15">
        <f>IF(C164&gt;0.005,C164-F164-G164,0)</f>
        <v/>
      </c>
      <c r="I164" s="13">
        <f>IF(A164="","",INT((147-1)/12)+1)</f>
        <v/>
      </c>
    </row>
    <row r="165">
      <c r="A165" s="13">
        <f>IF(C165&gt;0.005,148,"")</f>
        <v/>
      </c>
      <c r="B165" s="14">
        <f>IF(A165="","",EDATE($C$7,148-1))</f>
        <v/>
      </c>
      <c r="C165" s="15">
        <f>H164</f>
        <v/>
      </c>
      <c r="D165" s="15">
        <f>IF(C165&gt;0.005,IF(C165+E165-$C$10&lt;1,C165+E165,$C$10),0)</f>
        <v/>
      </c>
      <c r="E165" s="15">
        <f>IF(C165&gt;0.005,C165*$C$5/1200,0)</f>
        <v/>
      </c>
      <c r="F165" s="15">
        <f>IF(C165&gt;0.005,D165-E165,0)</f>
        <v/>
      </c>
      <c r="G165" s="15">
        <f>IF(C165&gt;0.005,MIN($C$8,C165-F165),0)</f>
        <v/>
      </c>
      <c r="H165" s="15">
        <f>IF(C165&gt;0.005,C165-F165-G165,0)</f>
        <v/>
      </c>
      <c r="I165" s="13">
        <f>IF(A165="","",INT((148-1)/12)+1)</f>
        <v/>
      </c>
    </row>
    <row r="166">
      <c r="A166" s="13">
        <f>IF(C166&gt;0.005,149,"")</f>
        <v/>
      </c>
      <c r="B166" s="14">
        <f>IF(A166="","",EDATE($C$7,149-1))</f>
        <v/>
      </c>
      <c r="C166" s="15">
        <f>H165</f>
        <v/>
      </c>
      <c r="D166" s="15">
        <f>IF(C166&gt;0.005,IF(C166+E166-$C$10&lt;1,C166+E166,$C$10),0)</f>
        <v/>
      </c>
      <c r="E166" s="15">
        <f>IF(C166&gt;0.005,C166*$C$5/1200,0)</f>
        <v/>
      </c>
      <c r="F166" s="15">
        <f>IF(C166&gt;0.005,D166-E166,0)</f>
        <v/>
      </c>
      <c r="G166" s="15">
        <f>IF(C166&gt;0.005,MIN($C$8,C166-F166),0)</f>
        <v/>
      </c>
      <c r="H166" s="15">
        <f>IF(C166&gt;0.005,C166-F166-G166,0)</f>
        <v/>
      </c>
      <c r="I166" s="13">
        <f>IF(A166="","",INT((149-1)/12)+1)</f>
        <v/>
      </c>
    </row>
    <row r="167">
      <c r="A167" s="13">
        <f>IF(C167&gt;0.005,150,"")</f>
        <v/>
      </c>
      <c r="B167" s="14">
        <f>IF(A167="","",EDATE($C$7,150-1))</f>
        <v/>
      </c>
      <c r="C167" s="15">
        <f>H166</f>
        <v/>
      </c>
      <c r="D167" s="15">
        <f>IF(C167&gt;0.005,IF(C167+E167-$C$10&lt;1,C167+E167,$C$10),0)</f>
        <v/>
      </c>
      <c r="E167" s="15">
        <f>IF(C167&gt;0.005,C167*$C$5/1200,0)</f>
        <v/>
      </c>
      <c r="F167" s="15">
        <f>IF(C167&gt;0.005,D167-E167,0)</f>
        <v/>
      </c>
      <c r="G167" s="15">
        <f>IF(C167&gt;0.005,MIN($C$8,C167-F167),0)</f>
        <v/>
      </c>
      <c r="H167" s="15">
        <f>IF(C167&gt;0.005,C167-F167-G167,0)</f>
        <v/>
      </c>
      <c r="I167" s="13">
        <f>IF(A167="","",INT((150-1)/12)+1)</f>
        <v/>
      </c>
    </row>
    <row r="168">
      <c r="A168" s="13">
        <f>IF(C168&gt;0.005,151,"")</f>
        <v/>
      </c>
      <c r="B168" s="14">
        <f>IF(A168="","",EDATE($C$7,151-1))</f>
        <v/>
      </c>
      <c r="C168" s="15">
        <f>H167</f>
        <v/>
      </c>
      <c r="D168" s="15">
        <f>IF(C168&gt;0.005,IF(C168+E168-$C$10&lt;1,C168+E168,$C$10),0)</f>
        <v/>
      </c>
      <c r="E168" s="15">
        <f>IF(C168&gt;0.005,C168*$C$5/1200,0)</f>
        <v/>
      </c>
      <c r="F168" s="15">
        <f>IF(C168&gt;0.005,D168-E168,0)</f>
        <v/>
      </c>
      <c r="G168" s="15">
        <f>IF(C168&gt;0.005,MIN($C$8,C168-F168),0)</f>
        <v/>
      </c>
      <c r="H168" s="15">
        <f>IF(C168&gt;0.005,C168-F168-G168,0)</f>
        <v/>
      </c>
      <c r="I168" s="13">
        <f>IF(A168="","",INT((151-1)/12)+1)</f>
        <v/>
      </c>
    </row>
    <row r="169">
      <c r="A169" s="13">
        <f>IF(C169&gt;0.005,152,"")</f>
        <v/>
      </c>
      <c r="B169" s="14">
        <f>IF(A169="","",EDATE($C$7,152-1))</f>
        <v/>
      </c>
      <c r="C169" s="15">
        <f>H168</f>
        <v/>
      </c>
      <c r="D169" s="15">
        <f>IF(C169&gt;0.005,IF(C169+E169-$C$10&lt;1,C169+E169,$C$10),0)</f>
        <v/>
      </c>
      <c r="E169" s="15">
        <f>IF(C169&gt;0.005,C169*$C$5/1200,0)</f>
        <v/>
      </c>
      <c r="F169" s="15">
        <f>IF(C169&gt;0.005,D169-E169,0)</f>
        <v/>
      </c>
      <c r="G169" s="15">
        <f>IF(C169&gt;0.005,MIN($C$8,C169-F169),0)</f>
        <v/>
      </c>
      <c r="H169" s="15">
        <f>IF(C169&gt;0.005,C169-F169-G169,0)</f>
        <v/>
      </c>
      <c r="I169" s="13">
        <f>IF(A169="","",INT((152-1)/12)+1)</f>
        <v/>
      </c>
    </row>
    <row r="170">
      <c r="A170" s="13">
        <f>IF(C170&gt;0.005,153,"")</f>
        <v/>
      </c>
      <c r="B170" s="14">
        <f>IF(A170="","",EDATE($C$7,153-1))</f>
        <v/>
      </c>
      <c r="C170" s="15">
        <f>H169</f>
        <v/>
      </c>
      <c r="D170" s="15">
        <f>IF(C170&gt;0.005,IF(C170+E170-$C$10&lt;1,C170+E170,$C$10),0)</f>
        <v/>
      </c>
      <c r="E170" s="15">
        <f>IF(C170&gt;0.005,C170*$C$5/1200,0)</f>
        <v/>
      </c>
      <c r="F170" s="15">
        <f>IF(C170&gt;0.005,D170-E170,0)</f>
        <v/>
      </c>
      <c r="G170" s="15">
        <f>IF(C170&gt;0.005,MIN($C$8,C170-F170),0)</f>
        <v/>
      </c>
      <c r="H170" s="15">
        <f>IF(C170&gt;0.005,C170-F170-G170,0)</f>
        <v/>
      </c>
      <c r="I170" s="13">
        <f>IF(A170="","",INT((153-1)/12)+1)</f>
        <v/>
      </c>
    </row>
    <row r="171">
      <c r="A171" s="13">
        <f>IF(C171&gt;0.005,154,"")</f>
        <v/>
      </c>
      <c r="B171" s="14">
        <f>IF(A171="","",EDATE($C$7,154-1))</f>
        <v/>
      </c>
      <c r="C171" s="15">
        <f>H170</f>
        <v/>
      </c>
      <c r="D171" s="15">
        <f>IF(C171&gt;0.005,IF(C171+E171-$C$10&lt;1,C171+E171,$C$10),0)</f>
        <v/>
      </c>
      <c r="E171" s="15">
        <f>IF(C171&gt;0.005,C171*$C$5/1200,0)</f>
        <v/>
      </c>
      <c r="F171" s="15">
        <f>IF(C171&gt;0.005,D171-E171,0)</f>
        <v/>
      </c>
      <c r="G171" s="15">
        <f>IF(C171&gt;0.005,MIN($C$8,C171-F171),0)</f>
        <v/>
      </c>
      <c r="H171" s="15">
        <f>IF(C171&gt;0.005,C171-F171-G171,0)</f>
        <v/>
      </c>
      <c r="I171" s="13">
        <f>IF(A171="","",INT((154-1)/12)+1)</f>
        <v/>
      </c>
    </row>
    <row r="172">
      <c r="A172" s="13">
        <f>IF(C172&gt;0.005,155,"")</f>
        <v/>
      </c>
      <c r="B172" s="14">
        <f>IF(A172="","",EDATE($C$7,155-1))</f>
        <v/>
      </c>
      <c r="C172" s="15">
        <f>H171</f>
        <v/>
      </c>
      <c r="D172" s="15">
        <f>IF(C172&gt;0.005,IF(C172+E172-$C$10&lt;1,C172+E172,$C$10),0)</f>
        <v/>
      </c>
      <c r="E172" s="15">
        <f>IF(C172&gt;0.005,C172*$C$5/1200,0)</f>
        <v/>
      </c>
      <c r="F172" s="15">
        <f>IF(C172&gt;0.005,D172-E172,0)</f>
        <v/>
      </c>
      <c r="G172" s="15">
        <f>IF(C172&gt;0.005,MIN($C$8,C172-F172),0)</f>
        <v/>
      </c>
      <c r="H172" s="15">
        <f>IF(C172&gt;0.005,C172-F172-G172,0)</f>
        <v/>
      </c>
      <c r="I172" s="13">
        <f>IF(A172="","",INT((155-1)/12)+1)</f>
        <v/>
      </c>
    </row>
    <row r="173">
      <c r="A173" s="13">
        <f>IF(C173&gt;0.005,156,"")</f>
        <v/>
      </c>
      <c r="B173" s="14">
        <f>IF(A173="","",EDATE($C$7,156-1))</f>
        <v/>
      </c>
      <c r="C173" s="15">
        <f>H172</f>
        <v/>
      </c>
      <c r="D173" s="15">
        <f>IF(C173&gt;0.005,IF(C173+E173-$C$10&lt;1,C173+E173,$C$10),0)</f>
        <v/>
      </c>
      <c r="E173" s="15">
        <f>IF(C173&gt;0.005,C173*$C$5/1200,0)</f>
        <v/>
      </c>
      <c r="F173" s="15">
        <f>IF(C173&gt;0.005,D173-E173,0)</f>
        <v/>
      </c>
      <c r="G173" s="15">
        <f>IF(C173&gt;0.005,MIN($C$8,C173-F173),0)</f>
        <v/>
      </c>
      <c r="H173" s="15">
        <f>IF(C173&gt;0.005,C173-F173-G173,0)</f>
        <v/>
      </c>
      <c r="I173" s="13">
        <f>IF(A173="","",INT((156-1)/12)+1)</f>
        <v/>
      </c>
    </row>
    <row r="174">
      <c r="A174" s="13">
        <f>IF(C174&gt;0.005,157,"")</f>
        <v/>
      </c>
      <c r="B174" s="14">
        <f>IF(A174="","",EDATE($C$7,157-1))</f>
        <v/>
      </c>
      <c r="C174" s="15">
        <f>H173</f>
        <v/>
      </c>
      <c r="D174" s="15">
        <f>IF(C174&gt;0.005,IF(C174+E174-$C$10&lt;1,C174+E174,$C$10),0)</f>
        <v/>
      </c>
      <c r="E174" s="15">
        <f>IF(C174&gt;0.005,C174*$C$5/1200,0)</f>
        <v/>
      </c>
      <c r="F174" s="15">
        <f>IF(C174&gt;0.005,D174-E174,0)</f>
        <v/>
      </c>
      <c r="G174" s="15">
        <f>IF(C174&gt;0.005,MIN($C$8,C174-F174),0)</f>
        <v/>
      </c>
      <c r="H174" s="15">
        <f>IF(C174&gt;0.005,C174-F174-G174,0)</f>
        <v/>
      </c>
      <c r="I174" s="13">
        <f>IF(A174="","",INT((157-1)/12)+1)</f>
        <v/>
      </c>
    </row>
    <row r="175">
      <c r="A175" s="13">
        <f>IF(C175&gt;0.005,158,"")</f>
        <v/>
      </c>
      <c r="B175" s="14">
        <f>IF(A175="","",EDATE($C$7,158-1))</f>
        <v/>
      </c>
      <c r="C175" s="15">
        <f>H174</f>
        <v/>
      </c>
      <c r="D175" s="15">
        <f>IF(C175&gt;0.005,IF(C175+E175-$C$10&lt;1,C175+E175,$C$10),0)</f>
        <v/>
      </c>
      <c r="E175" s="15">
        <f>IF(C175&gt;0.005,C175*$C$5/1200,0)</f>
        <v/>
      </c>
      <c r="F175" s="15">
        <f>IF(C175&gt;0.005,D175-E175,0)</f>
        <v/>
      </c>
      <c r="G175" s="15">
        <f>IF(C175&gt;0.005,MIN($C$8,C175-F175),0)</f>
        <v/>
      </c>
      <c r="H175" s="15">
        <f>IF(C175&gt;0.005,C175-F175-G175,0)</f>
        <v/>
      </c>
      <c r="I175" s="13">
        <f>IF(A175="","",INT((158-1)/12)+1)</f>
        <v/>
      </c>
    </row>
    <row r="176">
      <c r="A176" s="13">
        <f>IF(C176&gt;0.005,159,"")</f>
        <v/>
      </c>
      <c r="B176" s="14">
        <f>IF(A176="","",EDATE($C$7,159-1))</f>
        <v/>
      </c>
      <c r="C176" s="15">
        <f>H175</f>
        <v/>
      </c>
      <c r="D176" s="15">
        <f>IF(C176&gt;0.005,IF(C176+E176-$C$10&lt;1,C176+E176,$C$10),0)</f>
        <v/>
      </c>
      <c r="E176" s="15">
        <f>IF(C176&gt;0.005,C176*$C$5/1200,0)</f>
        <v/>
      </c>
      <c r="F176" s="15">
        <f>IF(C176&gt;0.005,D176-E176,0)</f>
        <v/>
      </c>
      <c r="G176" s="15">
        <f>IF(C176&gt;0.005,MIN($C$8,C176-F176),0)</f>
        <v/>
      </c>
      <c r="H176" s="15">
        <f>IF(C176&gt;0.005,C176-F176-G176,0)</f>
        <v/>
      </c>
      <c r="I176" s="13">
        <f>IF(A176="","",INT((159-1)/12)+1)</f>
        <v/>
      </c>
    </row>
    <row r="177">
      <c r="A177" s="13">
        <f>IF(C177&gt;0.005,160,"")</f>
        <v/>
      </c>
      <c r="B177" s="14">
        <f>IF(A177="","",EDATE($C$7,160-1))</f>
        <v/>
      </c>
      <c r="C177" s="15">
        <f>H176</f>
        <v/>
      </c>
      <c r="D177" s="15">
        <f>IF(C177&gt;0.005,IF(C177+E177-$C$10&lt;1,C177+E177,$C$10),0)</f>
        <v/>
      </c>
      <c r="E177" s="15">
        <f>IF(C177&gt;0.005,C177*$C$5/1200,0)</f>
        <v/>
      </c>
      <c r="F177" s="15">
        <f>IF(C177&gt;0.005,D177-E177,0)</f>
        <v/>
      </c>
      <c r="G177" s="15">
        <f>IF(C177&gt;0.005,MIN($C$8,C177-F177),0)</f>
        <v/>
      </c>
      <c r="H177" s="15">
        <f>IF(C177&gt;0.005,C177-F177-G177,0)</f>
        <v/>
      </c>
      <c r="I177" s="13">
        <f>IF(A177="","",INT((160-1)/12)+1)</f>
        <v/>
      </c>
    </row>
    <row r="178">
      <c r="A178" s="13">
        <f>IF(C178&gt;0.005,161,"")</f>
        <v/>
      </c>
      <c r="B178" s="14">
        <f>IF(A178="","",EDATE($C$7,161-1))</f>
        <v/>
      </c>
      <c r="C178" s="15">
        <f>H177</f>
        <v/>
      </c>
      <c r="D178" s="15">
        <f>IF(C178&gt;0.005,IF(C178+E178-$C$10&lt;1,C178+E178,$C$10),0)</f>
        <v/>
      </c>
      <c r="E178" s="15">
        <f>IF(C178&gt;0.005,C178*$C$5/1200,0)</f>
        <v/>
      </c>
      <c r="F178" s="15">
        <f>IF(C178&gt;0.005,D178-E178,0)</f>
        <v/>
      </c>
      <c r="G178" s="15">
        <f>IF(C178&gt;0.005,MIN($C$8,C178-F178),0)</f>
        <v/>
      </c>
      <c r="H178" s="15">
        <f>IF(C178&gt;0.005,C178-F178-G178,0)</f>
        <v/>
      </c>
      <c r="I178" s="13">
        <f>IF(A178="","",INT((161-1)/12)+1)</f>
        <v/>
      </c>
    </row>
    <row r="179">
      <c r="A179" s="13">
        <f>IF(C179&gt;0.005,162,"")</f>
        <v/>
      </c>
      <c r="B179" s="14">
        <f>IF(A179="","",EDATE($C$7,162-1))</f>
        <v/>
      </c>
      <c r="C179" s="15">
        <f>H178</f>
        <v/>
      </c>
      <c r="D179" s="15">
        <f>IF(C179&gt;0.005,IF(C179+E179-$C$10&lt;1,C179+E179,$C$10),0)</f>
        <v/>
      </c>
      <c r="E179" s="15">
        <f>IF(C179&gt;0.005,C179*$C$5/1200,0)</f>
        <v/>
      </c>
      <c r="F179" s="15">
        <f>IF(C179&gt;0.005,D179-E179,0)</f>
        <v/>
      </c>
      <c r="G179" s="15">
        <f>IF(C179&gt;0.005,MIN($C$8,C179-F179),0)</f>
        <v/>
      </c>
      <c r="H179" s="15">
        <f>IF(C179&gt;0.005,C179-F179-G179,0)</f>
        <v/>
      </c>
      <c r="I179" s="13">
        <f>IF(A179="","",INT((162-1)/12)+1)</f>
        <v/>
      </c>
    </row>
    <row r="180">
      <c r="A180" s="13">
        <f>IF(C180&gt;0.005,163,"")</f>
        <v/>
      </c>
      <c r="B180" s="14">
        <f>IF(A180="","",EDATE($C$7,163-1))</f>
        <v/>
      </c>
      <c r="C180" s="15">
        <f>H179</f>
        <v/>
      </c>
      <c r="D180" s="15">
        <f>IF(C180&gt;0.005,IF(C180+E180-$C$10&lt;1,C180+E180,$C$10),0)</f>
        <v/>
      </c>
      <c r="E180" s="15">
        <f>IF(C180&gt;0.005,C180*$C$5/1200,0)</f>
        <v/>
      </c>
      <c r="F180" s="15">
        <f>IF(C180&gt;0.005,D180-E180,0)</f>
        <v/>
      </c>
      <c r="G180" s="15">
        <f>IF(C180&gt;0.005,MIN($C$8,C180-F180),0)</f>
        <v/>
      </c>
      <c r="H180" s="15">
        <f>IF(C180&gt;0.005,C180-F180-G180,0)</f>
        <v/>
      </c>
      <c r="I180" s="13">
        <f>IF(A180="","",INT((163-1)/12)+1)</f>
        <v/>
      </c>
    </row>
    <row r="181">
      <c r="A181" s="13">
        <f>IF(C181&gt;0.005,164,"")</f>
        <v/>
      </c>
      <c r="B181" s="14">
        <f>IF(A181="","",EDATE($C$7,164-1))</f>
        <v/>
      </c>
      <c r="C181" s="15">
        <f>H180</f>
        <v/>
      </c>
      <c r="D181" s="15">
        <f>IF(C181&gt;0.005,IF(C181+E181-$C$10&lt;1,C181+E181,$C$10),0)</f>
        <v/>
      </c>
      <c r="E181" s="15">
        <f>IF(C181&gt;0.005,C181*$C$5/1200,0)</f>
        <v/>
      </c>
      <c r="F181" s="15">
        <f>IF(C181&gt;0.005,D181-E181,0)</f>
        <v/>
      </c>
      <c r="G181" s="15">
        <f>IF(C181&gt;0.005,MIN($C$8,C181-F181),0)</f>
        <v/>
      </c>
      <c r="H181" s="15">
        <f>IF(C181&gt;0.005,C181-F181-G181,0)</f>
        <v/>
      </c>
      <c r="I181" s="13">
        <f>IF(A181="","",INT((164-1)/12)+1)</f>
        <v/>
      </c>
    </row>
    <row r="182">
      <c r="A182" s="13">
        <f>IF(C182&gt;0.005,165,"")</f>
        <v/>
      </c>
      <c r="B182" s="14">
        <f>IF(A182="","",EDATE($C$7,165-1))</f>
        <v/>
      </c>
      <c r="C182" s="15">
        <f>H181</f>
        <v/>
      </c>
      <c r="D182" s="15">
        <f>IF(C182&gt;0.005,IF(C182+E182-$C$10&lt;1,C182+E182,$C$10),0)</f>
        <v/>
      </c>
      <c r="E182" s="15">
        <f>IF(C182&gt;0.005,C182*$C$5/1200,0)</f>
        <v/>
      </c>
      <c r="F182" s="15">
        <f>IF(C182&gt;0.005,D182-E182,0)</f>
        <v/>
      </c>
      <c r="G182" s="15">
        <f>IF(C182&gt;0.005,MIN($C$8,C182-F182),0)</f>
        <v/>
      </c>
      <c r="H182" s="15">
        <f>IF(C182&gt;0.005,C182-F182-G182,0)</f>
        <v/>
      </c>
      <c r="I182" s="13">
        <f>IF(A182="","",INT((165-1)/12)+1)</f>
        <v/>
      </c>
    </row>
    <row r="183">
      <c r="A183" s="13">
        <f>IF(C183&gt;0.005,166,"")</f>
        <v/>
      </c>
      <c r="B183" s="14">
        <f>IF(A183="","",EDATE($C$7,166-1))</f>
        <v/>
      </c>
      <c r="C183" s="15">
        <f>H182</f>
        <v/>
      </c>
      <c r="D183" s="15">
        <f>IF(C183&gt;0.005,IF(C183+E183-$C$10&lt;1,C183+E183,$C$10),0)</f>
        <v/>
      </c>
      <c r="E183" s="15">
        <f>IF(C183&gt;0.005,C183*$C$5/1200,0)</f>
        <v/>
      </c>
      <c r="F183" s="15">
        <f>IF(C183&gt;0.005,D183-E183,0)</f>
        <v/>
      </c>
      <c r="G183" s="15">
        <f>IF(C183&gt;0.005,MIN($C$8,C183-F183),0)</f>
        <v/>
      </c>
      <c r="H183" s="15">
        <f>IF(C183&gt;0.005,C183-F183-G183,0)</f>
        <v/>
      </c>
      <c r="I183" s="13">
        <f>IF(A183="","",INT((166-1)/12)+1)</f>
        <v/>
      </c>
    </row>
    <row r="184">
      <c r="A184" s="13">
        <f>IF(C184&gt;0.005,167,"")</f>
        <v/>
      </c>
      <c r="B184" s="14">
        <f>IF(A184="","",EDATE($C$7,167-1))</f>
        <v/>
      </c>
      <c r="C184" s="15">
        <f>H183</f>
        <v/>
      </c>
      <c r="D184" s="15">
        <f>IF(C184&gt;0.005,IF(C184+E184-$C$10&lt;1,C184+E184,$C$10),0)</f>
        <v/>
      </c>
      <c r="E184" s="15">
        <f>IF(C184&gt;0.005,C184*$C$5/1200,0)</f>
        <v/>
      </c>
      <c r="F184" s="15">
        <f>IF(C184&gt;0.005,D184-E184,0)</f>
        <v/>
      </c>
      <c r="G184" s="15">
        <f>IF(C184&gt;0.005,MIN($C$8,C184-F184),0)</f>
        <v/>
      </c>
      <c r="H184" s="15">
        <f>IF(C184&gt;0.005,C184-F184-G184,0)</f>
        <v/>
      </c>
      <c r="I184" s="13">
        <f>IF(A184="","",INT((167-1)/12)+1)</f>
        <v/>
      </c>
    </row>
    <row r="185">
      <c r="A185" s="13">
        <f>IF(C185&gt;0.005,168,"")</f>
        <v/>
      </c>
      <c r="B185" s="14">
        <f>IF(A185="","",EDATE($C$7,168-1))</f>
        <v/>
      </c>
      <c r="C185" s="15">
        <f>H184</f>
        <v/>
      </c>
      <c r="D185" s="15">
        <f>IF(C185&gt;0.005,IF(C185+E185-$C$10&lt;1,C185+E185,$C$10),0)</f>
        <v/>
      </c>
      <c r="E185" s="15">
        <f>IF(C185&gt;0.005,C185*$C$5/1200,0)</f>
        <v/>
      </c>
      <c r="F185" s="15">
        <f>IF(C185&gt;0.005,D185-E185,0)</f>
        <v/>
      </c>
      <c r="G185" s="15">
        <f>IF(C185&gt;0.005,MIN($C$8,C185-F185),0)</f>
        <v/>
      </c>
      <c r="H185" s="15">
        <f>IF(C185&gt;0.005,C185-F185-G185,0)</f>
        <v/>
      </c>
      <c r="I185" s="13">
        <f>IF(A185="","",INT((168-1)/12)+1)</f>
        <v/>
      </c>
    </row>
    <row r="186">
      <c r="A186" s="13">
        <f>IF(C186&gt;0.005,169,"")</f>
        <v/>
      </c>
      <c r="B186" s="14">
        <f>IF(A186="","",EDATE($C$7,169-1))</f>
        <v/>
      </c>
      <c r="C186" s="15">
        <f>H185</f>
        <v/>
      </c>
      <c r="D186" s="15">
        <f>IF(C186&gt;0.005,IF(C186+E186-$C$10&lt;1,C186+E186,$C$10),0)</f>
        <v/>
      </c>
      <c r="E186" s="15">
        <f>IF(C186&gt;0.005,C186*$C$5/1200,0)</f>
        <v/>
      </c>
      <c r="F186" s="15">
        <f>IF(C186&gt;0.005,D186-E186,0)</f>
        <v/>
      </c>
      <c r="G186" s="15">
        <f>IF(C186&gt;0.005,MIN($C$8,C186-F186),0)</f>
        <v/>
      </c>
      <c r="H186" s="15">
        <f>IF(C186&gt;0.005,C186-F186-G186,0)</f>
        <v/>
      </c>
      <c r="I186" s="13">
        <f>IF(A186="","",INT((169-1)/12)+1)</f>
        <v/>
      </c>
    </row>
    <row r="187">
      <c r="A187" s="13">
        <f>IF(C187&gt;0.005,170,"")</f>
        <v/>
      </c>
      <c r="B187" s="14">
        <f>IF(A187="","",EDATE($C$7,170-1))</f>
        <v/>
      </c>
      <c r="C187" s="15">
        <f>H186</f>
        <v/>
      </c>
      <c r="D187" s="15">
        <f>IF(C187&gt;0.005,IF(C187+E187-$C$10&lt;1,C187+E187,$C$10),0)</f>
        <v/>
      </c>
      <c r="E187" s="15">
        <f>IF(C187&gt;0.005,C187*$C$5/1200,0)</f>
        <v/>
      </c>
      <c r="F187" s="15">
        <f>IF(C187&gt;0.005,D187-E187,0)</f>
        <v/>
      </c>
      <c r="G187" s="15">
        <f>IF(C187&gt;0.005,MIN($C$8,C187-F187),0)</f>
        <v/>
      </c>
      <c r="H187" s="15">
        <f>IF(C187&gt;0.005,C187-F187-G187,0)</f>
        <v/>
      </c>
      <c r="I187" s="13">
        <f>IF(A187="","",INT((170-1)/12)+1)</f>
        <v/>
      </c>
    </row>
    <row r="188">
      <c r="A188" s="13">
        <f>IF(C188&gt;0.005,171,"")</f>
        <v/>
      </c>
      <c r="B188" s="14">
        <f>IF(A188="","",EDATE($C$7,171-1))</f>
        <v/>
      </c>
      <c r="C188" s="15">
        <f>H187</f>
        <v/>
      </c>
      <c r="D188" s="15">
        <f>IF(C188&gt;0.005,IF(C188+E188-$C$10&lt;1,C188+E188,$C$10),0)</f>
        <v/>
      </c>
      <c r="E188" s="15">
        <f>IF(C188&gt;0.005,C188*$C$5/1200,0)</f>
        <v/>
      </c>
      <c r="F188" s="15">
        <f>IF(C188&gt;0.005,D188-E188,0)</f>
        <v/>
      </c>
      <c r="G188" s="15">
        <f>IF(C188&gt;0.005,MIN($C$8,C188-F188),0)</f>
        <v/>
      </c>
      <c r="H188" s="15">
        <f>IF(C188&gt;0.005,C188-F188-G188,0)</f>
        <v/>
      </c>
      <c r="I188" s="13">
        <f>IF(A188="","",INT((171-1)/12)+1)</f>
        <v/>
      </c>
    </row>
    <row r="189">
      <c r="A189" s="13">
        <f>IF(C189&gt;0.005,172,"")</f>
        <v/>
      </c>
      <c r="B189" s="14">
        <f>IF(A189="","",EDATE($C$7,172-1))</f>
        <v/>
      </c>
      <c r="C189" s="15">
        <f>H188</f>
        <v/>
      </c>
      <c r="D189" s="15">
        <f>IF(C189&gt;0.005,IF(C189+E189-$C$10&lt;1,C189+E189,$C$10),0)</f>
        <v/>
      </c>
      <c r="E189" s="15">
        <f>IF(C189&gt;0.005,C189*$C$5/1200,0)</f>
        <v/>
      </c>
      <c r="F189" s="15">
        <f>IF(C189&gt;0.005,D189-E189,0)</f>
        <v/>
      </c>
      <c r="G189" s="15">
        <f>IF(C189&gt;0.005,MIN($C$8,C189-F189),0)</f>
        <v/>
      </c>
      <c r="H189" s="15">
        <f>IF(C189&gt;0.005,C189-F189-G189,0)</f>
        <v/>
      </c>
      <c r="I189" s="13">
        <f>IF(A189="","",INT((172-1)/12)+1)</f>
        <v/>
      </c>
    </row>
    <row r="190">
      <c r="A190" s="13">
        <f>IF(C190&gt;0.005,173,"")</f>
        <v/>
      </c>
      <c r="B190" s="14">
        <f>IF(A190="","",EDATE($C$7,173-1))</f>
        <v/>
      </c>
      <c r="C190" s="15">
        <f>H189</f>
        <v/>
      </c>
      <c r="D190" s="15">
        <f>IF(C190&gt;0.005,IF(C190+E190-$C$10&lt;1,C190+E190,$C$10),0)</f>
        <v/>
      </c>
      <c r="E190" s="15">
        <f>IF(C190&gt;0.005,C190*$C$5/1200,0)</f>
        <v/>
      </c>
      <c r="F190" s="15">
        <f>IF(C190&gt;0.005,D190-E190,0)</f>
        <v/>
      </c>
      <c r="G190" s="15">
        <f>IF(C190&gt;0.005,MIN($C$8,C190-F190),0)</f>
        <v/>
      </c>
      <c r="H190" s="15">
        <f>IF(C190&gt;0.005,C190-F190-G190,0)</f>
        <v/>
      </c>
      <c r="I190" s="13">
        <f>IF(A190="","",INT((173-1)/12)+1)</f>
        <v/>
      </c>
    </row>
    <row r="191">
      <c r="A191" s="13">
        <f>IF(C191&gt;0.005,174,"")</f>
        <v/>
      </c>
      <c r="B191" s="14">
        <f>IF(A191="","",EDATE($C$7,174-1))</f>
        <v/>
      </c>
      <c r="C191" s="15">
        <f>H190</f>
        <v/>
      </c>
      <c r="D191" s="15">
        <f>IF(C191&gt;0.005,IF(C191+E191-$C$10&lt;1,C191+E191,$C$10),0)</f>
        <v/>
      </c>
      <c r="E191" s="15">
        <f>IF(C191&gt;0.005,C191*$C$5/1200,0)</f>
        <v/>
      </c>
      <c r="F191" s="15">
        <f>IF(C191&gt;0.005,D191-E191,0)</f>
        <v/>
      </c>
      <c r="G191" s="15">
        <f>IF(C191&gt;0.005,MIN($C$8,C191-F191),0)</f>
        <v/>
      </c>
      <c r="H191" s="15">
        <f>IF(C191&gt;0.005,C191-F191-G191,0)</f>
        <v/>
      </c>
      <c r="I191" s="13">
        <f>IF(A191="","",INT((174-1)/12)+1)</f>
        <v/>
      </c>
    </row>
    <row r="192">
      <c r="A192" s="13">
        <f>IF(C192&gt;0.005,175,"")</f>
        <v/>
      </c>
      <c r="B192" s="14">
        <f>IF(A192="","",EDATE($C$7,175-1))</f>
        <v/>
      </c>
      <c r="C192" s="15">
        <f>H191</f>
        <v/>
      </c>
      <c r="D192" s="15">
        <f>IF(C192&gt;0.005,IF(C192+E192-$C$10&lt;1,C192+E192,$C$10),0)</f>
        <v/>
      </c>
      <c r="E192" s="15">
        <f>IF(C192&gt;0.005,C192*$C$5/1200,0)</f>
        <v/>
      </c>
      <c r="F192" s="15">
        <f>IF(C192&gt;0.005,D192-E192,0)</f>
        <v/>
      </c>
      <c r="G192" s="15">
        <f>IF(C192&gt;0.005,MIN($C$8,C192-F192),0)</f>
        <v/>
      </c>
      <c r="H192" s="15">
        <f>IF(C192&gt;0.005,C192-F192-G192,0)</f>
        <v/>
      </c>
      <c r="I192" s="13">
        <f>IF(A192="","",INT((175-1)/12)+1)</f>
        <v/>
      </c>
    </row>
    <row r="193">
      <c r="A193" s="13">
        <f>IF(C193&gt;0.005,176,"")</f>
        <v/>
      </c>
      <c r="B193" s="14">
        <f>IF(A193="","",EDATE($C$7,176-1))</f>
        <v/>
      </c>
      <c r="C193" s="15">
        <f>H192</f>
        <v/>
      </c>
      <c r="D193" s="15">
        <f>IF(C193&gt;0.005,IF(C193+E193-$C$10&lt;1,C193+E193,$C$10),0)</f>
        <v/>
      </c>
      <c r="E193" s="15">
        <f>IF(C193&gt;0.005,C193*$C$5/1200,0)</f>
        <v/>
      </c>
      <c r="F193" s="15">
        <f>IF(C193&gt;0.005,D193-E193,0)</f>
        <v/>
      </c>
      <c r="G193" s="15">
        <f>IF(C193&gt;0.005,MIN($C$8,C193-F193),0)</f>
        <v/>
      </c>
      <c r="H193" s="15">
        <f>IF(C193&gt;0.005,C193-F193-G193,0)</f>
        <v/>
      </c>
      <c r="I193" s="13">
        <f>IF(A193="","",INT((176-1)/12)+1)</f>
        <v/>
      </c>
    </row>
    <row r="194">
      <c r="A194" s="13">
        <f>IF(C194&gt;0.005,177,"")</f>
        <v/>
      </c>
      <c r="B194" s="14">
        <f>IF(A194="","",EDATE($C$7,177-1))</f>
        <v/>
      </c>
      <c r="C194" s="15">
        <f>H193</f>
        <v/>
      </c>
      <c r="D194" s="15">
        <f>IF(C194&gt;0.005,IF(C194+E194-$C$10&lt;1,C194+E194,$C$10),0)</f>
        <v/>
      </c>
      <c r="E194" s="15">
        <f>IF(C194&gt;0.005,C194*$C$5/1200,0)</f>
        <v/>
      </c>
      <c r="F194" s="15">
        <f>IF(C194&gt;0.005,D194-E194,0)</f>
        <v/>
      </c>
      <c r="G194" s="15">
        <f>IF(C194&gt;0.005,MIN($C$8,C194-F194),0)</f>
        <v/>
      </c>
      <c r="H194" s="15">
        <f>IF(C194&gt;0.005,C194-F194-G194,0)</f>
        <v/>
      </c>
      <c r="I194" s="13">
        <f>IF(A194="","",INT((177-1)/12)+1)</f>
        <v/>
      </c>
    </row>
    <row r="195">
      <c r="A195" s="13">
        <f>IF(C195&gt;0.005,178,"")</f>
        <v/>
      </c>
      <c r="B195" s="14">
        <f>IF(A195="","",EDATE($C$7,178-1))</f>
        <v/>
      </c>
      <c r="C195" s="15">
        <f>H194</f>
        <v/>
      </c>
      <c r="D195" s="15">
        <f>IF(C195&gt;0.005,IF(C195+E195-$C$10&lt;1,C195+E195,$C$10),0)</f>
        <v/>
      </c>
      <c r="E195" s="15">
        <f>IF(C195&gt;0.005,C195*$C$5/1200,0)</f>
        <v/>
      </c>
      <c r="F195" s="15">
        <f>IF(C195&gt;0.005,D195-E195,0)</f>
        <v/>
      </c>
      <c r="G195" s="15">
        <f>IF(C195&gt;0.005,MIN($C$8,C195-F195),0)</f>
        <v/>
      </c>
      <c r="H195" s="15">
        <f>IF(C195&gt;0.005,C195-F195-G195,0)</f>
        <v/>
      </c>
      <c r="I195" s="13">
        <f>IF(A195="","",INT((178-1)/12)+1)</f>
        <v/>
      </c>
    </row>
    <row r="196">
      <c r="A196" s="13">
        <f>IF(C196&gt;0.005,179,"")</f>
        <v/>
      </c>
      <c r="B196" s="14">
        <f>IF(A196="","",EDATE($C$7,179-1))</f>
        <v/>
      </c>
      <c r="C196" s="15">
        <f>H195</f>
        <v/>
      </c>
      <c r="D196" s="15">
        <f>IF(C196&gt;0.005,IF(C196+E196-$C$10&lt;1,C196+E196,$C$10),0)</f>
        <v/>
      </c>
      <c r="E196" s="15">
        <f>IF(C196&gt;0.005,C196*$C$5/1200,0)</f>
        <v/>
      </c>
      <c r="F196" s="15">
        <f>IF(C196&gt;0.005,D196-E196,0)</f>
        <v/>
      </c>
      <c r="G196" s="15">
        <f>IF(C196&gt;0.005,MIN($C$8,C196-F196),0)</f>
        <v/>
      </c>
      <c r="H196" s="15">
        <f>IF(C196&gt;0.005,C196-F196-G196,0)</f>
        <v/>
      </c>
      <c r="I196" s="13">
        <f>IF(A196="","",INT((179-1)/12)+1)</f>
        <v/>
      </c>
    </row>
    <row r="197">
      <c r="A197" s="13">
        <f>IF(C197&gt;0.005,180,"")</f>
        <v/>
      </c>
      <c r="B197" s="14">
        <f>IF(A197="","",EDATE($C$7,180-1))</f>
        <v/>
      </c>
      <c r="C197" s="15">
        <f>H196</f>
        <v/>
      </c>
      <c r="D197" s="15">
        <f>IF(C197&gt;0.005,IF(C197+E197-$C$10&lt;1,C197+E197,$C$10),0)</f>
        <v/>
      </c>
      <c r="E197" s="15">
        <f>IF(C197&gt;0.005,C197*$C$5/1200,0)</f>
        <v/>
      </c>
      <c r="F197" s="15">
        <f>IF(C197&gt;0.005,D197-E197,0)</f>
        <v/>
      </c>
      <c r="G197" s="15">
        <f>IF(C197&gt;0.005,MIN($C$8,C197-F197),0)</f>
        <v/>
      </c>
      <c r="H197" s="15">
        <f>IF(C197&gt;0.005,C197-F197-G197,0)</f>
        <v/>
      </c>
      <c r="I197" s="13">
        <f>IF(A197="","",INT((180-1)/12)+1)</f>
        <v/>
      </c>
    </row>
    <row r="198">
      <c r="A198" s="13">
        <f>IF(C198&gt;0.005,181,"")</f>
        <v/>
      </c>
      <c r="B198" s="14">
        <f>IF(A198="","",EDATE($C$7,181-1))</f>
        <v/>
      </c>
      <c r="C198" s="15">
        <f>H197</f>
        <v/>
      </c>
      <c r="D198" s="15">
        <f>IF(C198&gt;0.005,IF(C198+E198-$C$10&lt;1,C198+E198,$C$10),0)</f>
        <v/>
      </c>
      <c r="E198" s="15">
        <f>IF(C198&gt;0.005,C198*$C$5/1200,0)</f>
        <v/>
      </c>
      <c r="F198" s="15">
        <f>IF(C198&gt;0.005,D198-E198,0)</f>
        <v/>
      </c>
      <c r="G198" s="15">
        <f>IF(C198&gt;0.005,MIN($C$8,C198-F198),0)</f>
        <v/>
      </c>
      <c r="H198" s="15">
        <f>IF(C198&gt;0.005,C198-F198-G198,0)</f>
        <v/>
      </c>
      <c r="I198" s="13">
        <f>IF(A198="","",INT((181-1)/12)+1)</f>
        <v/>
      </c>
    </row>
    <row r="199">
      <c r="A199" s="13">
        <f>IF(C199&gt;0.005,182,"")</f>
        <v/>
      </c>
      <c r="B199" s="14">
        <f>IF(A199="","",EDATE($C$7,182-1))</f>
        <v/>
      </c>
      <c r="C199" s="15">
        <f>H198</f>
        <v/>
      </c>
      <c r="D199" s="15">
        <f>IF(C199&gt;0.005,IF(C199+E199-$C$10&lt;1,C199+E199,$C$10),0)</f>
        <v/>
      </c>
      <c r="E199" s="15">
        <f>IF(C199&gt;0.005,C199*$C$5/1200,0)</f>
        <v/>
      </c>
      <c r="F199" s="15">
        <f>IF(C199&gt;0.005,D199-E199,0)</f>
        <v/>
      </c>
      <c r="G199" s="15">
        <f>IF(C199&gt;0.005,MIN($C$8,C199-F199),0)</f>
        <v/>
      </c>
      <c r="H199" s="15">
        <f>IF(C199&gt;0.005,C199-F199-G199,0)</f>
        <v/>
      </c>
      <c r="I199" s="13">
        <f>IF(A199="","",INT((182-1)/12)+1)</f>
        <v/>
      </c>
    </row>
    <row r="200">
      <c r="A200" s="13">
        <f>IF(C200&gt;0.005,183,"")</f>
        <v/>
      </c>
      <c r="B200" s="14">
        <f>IF(A200="","",EDATE($C$7,183-1))</f>
        <v/>
      </c>
      <c r="C200" s="15">
        <f>H199</f>
        <v/>
      </c>
      <c r="D200" s="15">
        <f>IF(C200&gt;0.005,IF(C200+E200-$C$10&lt;1,C200+E200,$C$10),0)</f>
        <v/>
      </c>
      <c r="E200" s="15">
        <f>IF(C200&gt;0.005,C200*$C$5/1200,0)</f>
        <v/>
      </c>
      <c r="F200" s="15">
        <f>IF(C200&gt;0.005,D200-E200,0)</f>
        <v/>
      </c>
      <c r="G200" s="15">
        <f>IF(C200&gt;0.005,MIN($C$8,C200-F200),0)</f>
        <v/>
      </c>
      <c r="H200" s="15">
        <f>IF(C200&gt;0.005,C200-F200-G200,0)</f>
        <v/>
      </c>
      <c r="I200" s="13">
        <f>IF(A200="","",INT((183-1)/12)+1)</f>
        <v/>
      </c>
    </row>
    <row r="201">
      <c r="A201" s="13">
        <f>IF(C201&gt;0.005,184,"")</f>
        <v/>
      </c>
      <c r="B201" s="14">
        <f>IF(A201="","",EDATE($C$7,184-1))</f>
        <v/>
      </c>
      <c r="C201" s="15">
        <f>H200</f>
        <v/>
      </c>
      <c r="D201" s="15">
        <f>IF(C201&gt;0.005,IF(C201+E201-$C$10&lt;1,C201+E201,$C$10),0)</f>
        <v/>
      </c>
      <c r="E201" s="15">
        <f>IF(C201&gt;0.005,C201*$C$5/1200,0)</f>
        <v/>
      </c>
      <c r="F201" s="15">
        <f>IF(C201&gt;0.005,D201-E201,0)</f>
        <v/>
      </c>
      <c r="G201" s="15">
        <f>IF(C201&gt;0.005,MIN($C$8,C201-F201),0)</f>
        <v/>
      </c>
      <c r="H201" s="15">
        <f>IF(C201&gt;0.005,C201-F201-G201,0)</f>
        <v/>
      </c>
      <c r="I201" s="13">
        <f>IF(A201="","",INT((184-1)/12)+1)</f>
        <v/>
      </c>
    </row>
    <row r="202">
      <c r="A202" s="13">
        <f>IF(C202&gt;0.005,185,"")</f>
        <v/>
      </c>
      <c r="B202" s="14">
        <f>IF(A202="","",EDATE($C$7,185-1))</f>
        <v/>
      </c>
      <c r="C202" s="15">
        <f>H201</f>
        <v/>
      </c>
      <c r="D202" s="15">
        <f>IF(C202&gt;0.005,IF(C202+E202-$C$10&lt;1,C202+E202,$C$10),0)</f>
        <v/>
      </c>
      <c r="E202" s="15">
        <f>IF(C202&gt;0.005,C202*$C$5/1200,0)</f>
        <v/>
      </c>
      <c r="F202" s="15">
        <f>IF(C202&gt;0.005,D202-E202,0)</f>
        <v/>
      </c>
      <c r="G202" s="15">
        <f>IF(C202&gt;0.005,MIN($C$8,C202-F202),0)</f>
        <v/>
      </c>
      <c r="H202" s="15">
        <f>IF(C202&gt;0.005,C202-F202-G202,0)</f>
        <v/>
      </c>
      <c r="I202" s="13">
        <f>IF(A202="","",INT((185-1)/12)+1)</f>
        <v/>
      </c>
    </row>
    <row r="203">
      <c r="A203" s="13">
        <f>IF(C203&gt;0.005,186,"")</f>
        <v/>
      </c>
      <c r="B203" s="14">
        <f>IF(A203="","",EDATE($C$7,186-1))</f>
        <v/>
      </c>
      <c r="C203" s="15">
        <f>H202</f>
        <v/>
      </c>
      <c r="D203" s="15">
        <f>IF(C203&gt;0.005,IF(C203+E203-$C$10&lt;1,C203+E203,$C$10),0)</f>
        <v/>
      </c>
      <c r="E203" s="15">
        <f>IF(C203&gt;0.005,C203*$C$5/1200,0)</f>
        <v/>
      </c>
      <c r="F203" s="15">
        <f>IF(C203&gt;0.005,D203-E203,0)</f>
        <v/>
      </c>
      <c r="G203" s="15">
        <f>IF(C203&gt;0.005,MIN($C$8,C203-F203),0)</f>
        <v/>
      </c>
      <c r="H203" s="15">
        <f>IF(C203&gt;0.005,C203-F203-G203,0)</f>
        <v/>
      </c>
      <c r="I203" s="13">
        <f>IF(A203="","",INT((186-1)/12)+1)</f>
        <v/>
      </c>
    </row>
    <row r="204">
      <c r="A204" s="13">
        <f>IF(C204&gt;0.005,187,"")</f>
        <v/>
      </c>
      <c r="B204" s="14">
        <f>IF(A204="","",EDATE($C$7,187-1))</f>
        <v/>
      </c>
      <c r="C204" s="15">
        <f>H203</f>
        <v/>
      </c>
      <c r="D204" s="15">
        <f>IF(C204&gt;0.005,IF(C204+E204-$C$10&lt;1,C204+E204,$C$10),0)</f>
        <v/>
      </c>
      <c r="E204" s="15">
        <f>IF(C204&gt;0.005,C204*$C$5/1200,0)</f>
        <v/>
      </c>
      <c r="F204" s="15">
        <f>IF(C204&gt;0.005,D204-E204,0)</f>
        <v/>
      </c>
      <c r="G204" s="15">
        <f>IF(C204&gt;0.005,MIN($C$8,C204-F204),0)</f>
        <v/>
      </c>
      <c r="H204" s="15">
        <f>IF(C204&gt;0.005,C204-F204-G204,0)</f>
        <v/>
      </c>
      <c r="I204" s="13">
        <f>IF(A204="","",INT((187-1)/12)+1)</f>
        <v/>
      </c>
    </row>
    <row r="205">
      <c r="A205" s="13">
        <f>IF(C205&gt;0.005,188,"")</f>
        <v/>
      </c>
      <c r="B205" s="14">
        <f>IF(A205="","",EDATE($C$7,188-1))</f>
        <v/>
      </c>
      <c r="C205" s="15">
        <f>H204</f>
        <v/>
      </c>
      <c r="D205" s="15">
        <f>IF(C205&gt;0.005,IF(C205+E205-$C$10&lt;1,C205+E205,$C$10),0)</f>
        <v/>
      </c>
      <c r="E205" s="15">
        <f>IF(C205&gt;0.005,C205*$C$5/1200,0)</f>
        <v/>
      </c>
      <c r="F205" s="15">
        <f>IF(C205&gt;0.005,D205-E205,0)</f>
        <v/>
      </c>
      <c r="G205" s="15">
        <f>IF(C205&gt;0.005,MIN($C$8,C205-F205),0)</f>
        <v/>
      </c>
      <c r="H205" s="15">
        <f>IF(C205&gt;0.005,C205-F205-G205,0)</f>
        <v/>
      </c>
      <c r="I205" s="13">
        <f>IF(A205="","",INT((188-1)/12)+1)</f>
        <v/>
      </c>
    </row>
    <row r="206">
      <c r="A206" s="13">
        <f>IF(C206&gt;0.005,189,"")</f>
        <v/>
      </c>
      <c r="B206" s="14">
        <f>IF(A206="","",EDATE($C$7,189-1))</f>
        <v/>
      </c>
      <c r="C206" s="15">
        <f>H205</f>
        <v/>
      </c>
      <c r="D206" s="15">
        <f>IF(C206&gt;0.005,IF(C206+E206-$C$10&lt;1,C206+E206,$C$10),0)</f>
        <v/>
      </c>
      <c r="E206" s="15">
        <f>IF(C206&gt;0.005,C206*$C$5/1200,0)</f>
        <v/>
      </c>
      <c r="F206" s="15">
        <f>IF(C206&gt;0.005,D206-E206,0)</f>
        <v/>
      </c>
      <c r="G206" s="15">
        <f>IF(C206&gt;0.005,MIN($C$8,C206-F206),0)</f>
        <v/>
      </c>
      <c r="H206" s="15">
        <f>IF(C206&gt;0.005,C206-F206-G206,0)</f>
        <v/>
      </c>
      <c r="I206" s="13">
        <f>IF(A206="","",INT((189-1)/12)+1)</f>
        <v/>
      </c>
    </row>
    <row r="207">
      <c r="A207" s="13">
        <f>IF(C207&gt;0.005,190,"")</f>
        <v/>
      </c>
      <c r="B207" s="14">
        <f>IF(A207="","",EDATE($C$7,190-1))</f>
        <v/>
      </c>
      <c r="C207" s="15">
        <f>H206</f>
        <v/>
      </c>
      <c r="D207" s="15">
        <f>IF(C207&gt;0.005,IF(C207+E207-$C$10&lt;1,C207+E207,$C$10),0)</f>
        <v/>
      </c>
      <c r="E207" s="15">
        <f>IF(C207&gt;0.005,C207*$C$5/1200,0)</f>
        <v/>
      </c>
      <c r="F207" s="15">
        <f>IF(C207&gt;0.005,D207-E207,0)</f>
        <v/>
      </c>
      <c r="G207" s="15">
        <f>IF(C207&gt;0.005,MIN($C$8,C207-F207),0)</f>
        <v/>
      </c>
      <c r="H207" s="15">
        <f>IF(C207&gt;0.005,C207-F207-G207,0)</f>
        <v/>
      </c>
      <c r="I207" s="13">
        <f>IF(A207="","",INT((190-1)/12)+1)</f>
        <v/>
      </c>
    </row>
    <row r="208">
      <c r="A208" s="13">
        <f>IF(C208&gt;0.005,191,"")</f>
        <v/>
      </c>
      <c r="B208" s="14">
        <f>IF(A208="","",EDATE($C$7,191-1))</f>
        <v/>
      </c>
      <c r="C208" s="15">
        <f>H207</f>
        <v/>
      </c>
      <c r="D208" s="15">
        <f>IF(C208&gt;0.005,IF(C208+E208-$C$10&lt;1,C208+E208,$C$10),0)</f>
        <v/>
      </c>
      <c r="E208" s="15">
        <f>IF(C208&gt;0.005,C208*$C$5/1200,0)</f>
        <v/>
      </c>
      <c r="F208" s="15">
        <f>IF(C208&gt;0.005,D208-E208,0)</f>
        <v/>
      </c>
      <c r="G208" s="15">
        <f>IF(C208&gt;0.005,MIN($C$8,C208-F208),0)</f>
        <v/>
      </c>
      <c r="H208" s="15">
        <f>IF(C208&gt;0.005,C208-F208-G208,0)</f>
        <v/>
      </c>
      <c r="I208" s="13">
        <f>IF(A208="","",INT((191-1)/12)+1)</f>
        <v/>
      </c>
    </row>
    <row r="209">
      <c r="A209" s="13">
        <f>IF(C209&gt;0.005,192,"")</f>
        <v/>
      </c>
      <c r="B209" s="14">
        <f>IF(A209="","",EDATE($C$7,192-1))</f>
        <v/>
      </c>
      <c r="C209" s="15">
        <f>H208</f>
        <v/>
      </c>
      <c r="D209" s="15">
        <f>IF(C209&gt;0.005,IF(C209+E209-$C$10&lt;1,C209+E209,$C$10),0)</f>
        <v/>
      </c>
      <c r="E209" s="15">
        <f>IF(C209&gt;0.005,C209*$C$5/1200,0)</f>
        <v/>
      </c>
      <c r="F209" s="15">
        <f>IF(C209&gt;0.005,D209-E209,0)</f>
        <v/>
      </c>
      <c r="G209" s="15">
        <f>IF(C209&gt;0.005,MIN($C$8,C209-F209),0)</f>
        <v/>
      </c>
      <c r="H209" s="15">
        <f>IF(C209&gt;0.005,C209-F209-G209,0)</f>
        <v/>
      </c>
      <c r="I209" s="13">
        <f>IF(A209="","",INT((192-1)/12)+1)</f>
        <v/>
      </c>
    </row>
    <row r="210">
      <c r="A210" s="13">
        <f>IF(C210&gt;0.005,193,"")</f>
        <v/>
      </c>
      <c r="B210" s="14">
        <f>IF(A210="","",EDATE($C$7,193-1))</f>
        <v/>
      </c>
      <c r="C210" s="15">
        <f>H209</f>
        <v/>
      </c>
      <c r="D210" s="15">
        <f>IF(C210&gt;0.005,IF(C210+E210-$C$10&lt;1,C210+E210,$C$10),0)</f>
        <v/>
      </c>
      <c r="E210" s="15">
        <f>IF(C210&gt;0.005,C210*$C$5/1200,0)</f>
        <v/>
      </c>
      <c r="F210" s="15">
        <f>IF(C210&gt;0.005,D210-E210,0)</f>
        <v/>
      </c>
      <c r="G210" s="15">
        <f>IF(C210&gt;0.005,MIN($C$8,C210-F210),0)</f>
        <v/>
      </c>
      <c r="H210" s="15">
        <f>IF(C210&gt;0.005,C210-F210-G210,0)</f>
        <v/>
      </c>
      <c r="I210" s="13">
        <f>IF(A210="","",INT((193-1)/12)+1)</f>
        <v/>
      </c>
    </row>
    <row r="211">
      <c r="A211" s="13">
        <f>IF(C211&gt;0.005,194,"")</f>
        <v/>
      </c>
      <c r="B211" s="14">
        <f>IF(A211="","",EDATE($C$7,194-1))</f>
        <v/>
      </c>
      <c r="C211" s="15">
        <f>H210</f>
        <v/>
      </c>
      <c r="D211" s="15">
        <f>IF(C211&gt;0.005,IF(C211+E211-$C$10&lt;1,C211+E211,$C$10),0)</f>
        <v/>
      </c>
      <c r="E211" s="15">
        <f>IF(C211&gt;0.005,C211*$C$5/1200,0)</f>
        <v/>
      </c>
      <c r="F211" s="15">
        <f>IF(C211&gt;0.005,D211-E211,0)</f>
        <v/>
      </c>
      <c r="G211" s="15">
        <f>IF(C211&gt;0.005,MIN($C$8,C211-F211),0)</f>
        <v/>
      </c>
      <c r="H211" s="15">
        <f>IF(C211&gt;0.005,C211-F211-G211,0)</f>
        <v/>
      </c>
      <c r="I211" s="13">
        <f>IF(A211="","",INT((194-1)/12)+1)</f>
        <v/>
      </c>
    </row>
    <row r="212">
      <c r="A212" s="13">
        <f>IF(C212&gt;0.005,195,"")</f>
        <v/>
      </c>
      <c r="B212" s="14">
        <f>IF(A212="","",EDATE($C$7,195-1))</f>
        <v/>
      </c>
      <c r="C212" s="15">
        <f>H211</f>
        <v/>
      </c>
      <c r="D212" s="15">
        <f>IF(C212&gt;0.005,IF(C212+E212-$C$10&lt;1,C212+E212,$C$10),0)</f>
        <v/>
      </c>
      <c r="E212" s="15">
        <f>IF(C212&gt;0.005,C212*$C$5/1200,0)</f>
        <v/>
      </c>
      <c r="F212" s="15">
        <f>IF(C212&gt;0.005,D212-E212,0)</f>
        <v/>
      </c>
      <c r="G212" s="15">
        <f>IF(C212&gt;0.005,MIN($C$8,C212-F212),0)</f>
        <v/>
      </c>
      <c r="H212" s="15">
        <f>IF(C212&gt;0.005,C212-F212-G212,0)</f>
        <v/>
      </c>
      <c r="I212" s="13">
        <f>IF(A212="","",INT((195-1)/12)+1)</f>
        <v/>
      </c>
    </row>
    <row r="213">
      <c r="A213" s="13">
        <f>IF(C213&gt;0.005,196,"")</f>
        <v/>
      </c>
      <c r="B213" s="14">
        <f>IF(A213="","",EDATE($C$7,196-1))</f>
        <v/>
      </c>
      <c r="C213" s="15">
        <f>H212</f>
        <v/>
      </c>
      <c r="D213" s="15">
        <f>IF(C213&gt;0.005,IF(C213+E213-$C$10&lt;1,C213+E213,$C$10),0)</f>
        <v/>
      </c>
      <c r="E213" s="15">
        <f>IF(C213&gt;0.005,C213*$C$5/1200,0)</f>
        <v/>
      </c>
      <c r="F213" s="15">
        <f>IF(C213&gt;0.005,D213-E213,0)</f>
        <v/>
      </c>
      <c r="G213" s="15">
        <f>IF(C213&gt;0.005,MIN($C$8,C213-F213),0)</f>
        <v/>
      </c>
      <c r="H213" s="15">
        <f>IF(C213&gt;0.005,C213-F213-G213,0)</f>
        <v/>
      </c>
      <c r="I213" s="13">
        <f>IF(A213="","",INT((196-1)/12)+1)</f>
        <v/>
      </c>
    </row>
    <row r="214">
      <c r="A214" s="13">
        <f>IF(C214&gt;0.005,197,"")</f>
        <v/>
      </c>
      <c r="B214" s="14">
        <f>IF(A214="","",EDATE($C$7,197-1))</f>
        <v/>
      </c>
      <c r="C214" s="15">
        <f>H213</f>
        <v/>
      </c>
      <c r="D214" s="15">
        <f>IF(C214&gt;0.005,IF(C214+E214-$C$10&lt;1,C214+E214,$C$10),0)</f>
        <v/>
      </c>
      <c r="E214" s="15">
        <f>IF(C214&gt;0.005,C214*$C$5/1200,0)</f>
        <v/>
      </c>
      <c r="F214" s="15">
        <f>IF(C214&gt;0.005,D214-E214,0)</f>
        <v/>
      </c>
      <c r="G214" s="15">
        <f>IF(C214&gt;0.005,MIN($C$8,C214-F214),0)</f>
        <v/>
      </c>
      <c r="H214" s="15">
        <f>IF(C214&gt;0.005,C214-F214-G214,0)</f>
        <v/>
      </c>
      <c r="I214" s="13">
        <f>IF(A214="","",INT((197-1)/12)+1)</f>
        <v/>
      </c>
    </row>
    <row r="215">
      <c r="A215" s="13">
        <f>IF(C215&gt;0.005,198,"")</f>
        <v/>
      </c>
      <c r="B215" s="14">
        <f>IF(A215="","",EDATE($C$7,198-1))</f>
        <v/>
      </c>
      <c r="C215" s="15">
        <f>H214</f>
        <v/>
      </c>
      <c r="D215" s="15">
        <f>IF(C215&gt;0.005,IF(C215+E215-$C$10&lt;1,C215+E215,$C$10),0)</f>
        <v/>
      </c>
      <c r="E215" s="15">
        <f>IF(C215&gt;0.005,C215*$C$5/1200,0)</f>
        <v/>
      </c>
      <c r="F215" s="15">
        <f>IF(C215&gt;0.005,D215-E215,0)</f>
        <v/>
      </c>
      <c r="G215" s="15">
        <f>IF(C215&gt;0.005,MIN($C$8,C215-F215),0)</f>
        <v/>
      </c>
      <c r="H215" s="15">
        <f>IF(C215&gt;0.005,C215-F215-G215,0)</f>
        <v/>
      </c>
      <c r="I215" s="13">
        <f>IF(A215="","",INT((198-1)/12)+1)</f>
        <v/>
      </c>
    </row>
    <row r="216">
      <c r="A216" s="13">
        <f>IF(C216&gt;0.005,199,"")</f>
        <v/>
      </c>
      <c r="B216" s="14">
        <f>IF(A216="","",EDATE($C$7,199-1))</f>
        <v/>
      </c>
      <c r="C216" s="15">
        <f>H215</f>
        <v/>
      </c>
      <c r="D216" s="15">
        <f>IF(C216&gt;0.005,IF(C216+E216-$C$10&lt;1,C216+E216,$C$10),0)</f>
        <v/>
      </c>
      <c r="E216" s="15">
        <f>IF(C216&gt;0.005,C216*$C$5/1200,0)</f>
        <v/>
      </c>
      <c r="F216" s="15">
        <f>IF(C216&gt;0.005,D216-E216,0)</f>
        <v/>
      </c>
      <c r="G216" s="15">
        <f>IF(C216&gt;0.005,MIN($C$8,C216-F216),0)</f>
        <v/>
      </c>
      <c r="H216" s="15">
        <f>IF(C216&gt;0.005,C216-F216-G216,0)</f>
        <v/>
      </c>
      <c r="I216" s="13">
        <f>IF(A216="","",INT((199-1)/12)+1)</f>
        <v/>
      </c>
    </row>
    <row r="217">
      <c r="A217" s="13">
        <f>IF(C217&gt;0.005,200,"")</f>
        <v/>
      </c>
      <c r="B217" s="14">
        <f>IF(A217="","",EDATE($C$7,200-1))</f>
        <v/>
      </c>
      <c r="C217" s="15">
        <f>H216</f>
        <v/>
      </c>
      <c r="D217" s="15">
        <f>IF(C217&gt;0.005,IF(C217+E217-$C$10&lt;1,C217+E217,$C$10),0)</f>
        <v/>
      </c>
      <c r="E217" s="15">
        <f>IF(C217&gt;0.005,C217*$C$5/1200,0)</f>
        <v/>
      </c>
      <c r="F217" s="15">
        <f>IF(C217&gt;0.005,D217-E217,0)</f>
        <v/>
      </c>
      <c r="G217" s="15">
        <f>IF(C217&gt;0.005,MIN($C$8,C217-F217),0)</f>
        <v/>
      </c>
      <c r="H217" s="15">
        <f>IF(C217&gt;0.005,C217-F217-G217,0)</f>
        <v/>
      </c>
      <c r="I217" s="13">
        <f>IF(A217="","",INT((200-1)/12)+1)</f>
        <v/>
      </c>
    </row>
    <row r="218">
      <c r="A218" s="13">
        <f>IF(C218&gt;0.005,201,"")</f>
        <v/>
      </c>
      <c r="B218" s="14">
        <f>IF(A218="","",EDATE($C$7,201-1))</f>
        <v/>
      </c>
      <c r="C218" s="15">
        <f>H217</f>
        <v/>
      </c>
      <c r="D218" s="15">
        <f>IF(C218&gt;0.005,IF(C218+E218-$C$10&lt;1,C218+E218,$C$10),0)</f>
        <v/>
      </c>
      <c r="E218" s="15">
        <f>IF(C218&gt;0.005,C218*$C$5/1200,0)</f>
        <v/>
      </c>
      <c r="F218" s="15">
        <f>IF(C218&gt;0.005,D218-E218,0)</f>
        <v/>
      </c>
      <c r="G218" s="15">
        <f>IF(C218&gt;0.005,MIN($C$8,C218-F218),0)</f>
        <v/>
      </c>
      <c r="H218" s="15">
        <f>IF(C218&gt;0.005,C218-F218-G218,0)</f>
        <v/>
      </c>
      <c r="I218" s="13">
        <f>IF(A218="","",INT((201-1)/12)+1)</f>
        <v/>
      </c>
    </row>
    <row r="219">
      <c r="A219" s="13">
        <f>IF(C219&gt;0.005,202,"")</f>
        <v/>
      </c>
      <c r="B219" s="14">
        <f>IF(A219="","",EDATE($C$7,202-1))</f>
        <v/>
      </c>
      <c r="C219" s="15">
        <f>H218</f>
        <v/>
      </c>
      <c r="D219" s="15">
        <f>IF(C219&gt;0.005,IF(C219+E219-$C$10&lt;1,C219+E219,$C$10),0)</f>
        <v/>
      </c>
      <c r="E219" s="15">
        <f>IF(C219&gt;0.005,C219*$C$5/1200,0)</f>
        <v/>
      </c>
      <c r="F219" s="15">
        <f>IF(C219&gt;0.005,D219-E219,0)</f>
        <v/>
      </c>
      <c r="G219" s="15">
        <f>IF(C219&gt;0.005,MIN($C$8,C219-F219),0)</f>
        <v/>
      </c>
      <c r="H219" s="15">
        <f>IF(C219&gt;0.005,C219-F219-G219,0)</f>
        <v/>
      </c>
      <c r="I219" s="13">
        <f>IF(A219="","",INT((202-1)/12)+1)</f>
        <v/>
      </c>
    </row>
    <row r="220">
      <c r="A220" s="13">
        <f>IF(C220&gt;0.005,203,"")</f>
        <v/>
      </c>
      <c r="B220" s="14">
        <f>IF(A220="","",EDATE($C$7,203-1))</f>
        <v/>
      </c>
      <c r="C220" s="15">
        <f>H219</f>
        <v/>
      </c>
      <c r="D220" s="15">
        <f>IF(C220&gt;0.005,IF(C220+E220-$C$10&lt;1,C220+E220,$C$10),0)</f>
        <v/>
      </c>
      <c r="E220" s="15">
        <f>IF(C220&gt;0.005,C220*$C$5/1200,0)</f>
        <v/>
      </c>
      <c r="F220" s="15">
        <f>IF(C220&gt;0.005,D220-E220,0)</f>
        <v/>
      </c>
      <c r="G220" s="15">
        <f>IF(C220&gt;0.005,MIN($C$8,C220-F220),0)</f>
        <v/>
      </c>
      <c r="H220" s="15">
        <f>IF(C220&gt;0.005,C220-F220-G220,0)</f>
        <v/>
      </c>
      <c r="I220" s="13">
        <f>IF(A220="","",INT((203-1)/12)+1)</f>
        <v/>
      </c>
    </row>
    <row r="221">
      <c r="A221" s="13">
        <f>IF(C221&gt;0.005,204,"")</f>
        <v/>
      </c>
      <c r="B221" s="14">
        <f>IF(A221="","",EDATE($C$7,204-1))</f>
        <v/>
      </c>
      <c r="C221" s="15">
        <f>H220</f>
        <v/>
      </c>
      <c r="D221" s="15">
        <f>IF(C221&gt;0.005,IF(C221+E221-$C$10&lt;1,C221+E221,$C$10),0)</f>
        <v/>
      </c>
      <c r="E221" s="15">
        <f>IF(C221&gt;0.005,C221*$C$5/1200,0)</f>
        <v/>
      </c>
      <c r="F221" s="15">
        <f>IF(C221&gt;0.005,D221-E221,0)</f>
        <v/>
      </c>
      <c r="G221" s="15">
        <f>IF(C221&gt;0.005,MIN($C$8,C221-F221),0)</f>
        <v/>
      </c>
      <c r="H221" s="15">
        <f>IF(C221&gt;0.005,C221-F221-G221,0)</f>
        <v/>
      </c>
      <c r="I221" s="13">
        <f>IF(A221="","",INT((204-1)/12)+1)</f>
        <v/>
      </c>
    </row>
    <row r="222">
      <c r="A222" s="13">
        <f>IF(C222&gt;0.005,205,"")</f>
        <v/>
      </c>
      <c r="B222" s="14">
        <f>IF(A222="","",EDATE($C$7,205-1))</f>
        <v/>
      </c>
      <c r="C222" s="15">
        <f>H221</f>
        <v/>
      </c>
      <c r="D222" s="15">
        <f>IF(C222&gt;0.005,IF(C222+E222-$C$10&lt;1,C222+E222,$C$10),0)</f>
        <v/>
      </c>
      <c r="E222" s="15">
        <f>IF(C222&gt;0.005,C222*$C$5/1200,0)</f>
        <v/>
      </c>
      <c r="F222" s="15">
        <f>IF(C222&gt;0.005,D222-E222,0)</f>
        <v/>
      </c>
      <c r="G222" s="15">
        <f>IF(C222&gt;0.005,MIN($C$8,C222-F222),0)</f>
        <v/>
      </c>
      <c r="H222" s="15">
        <f>IF(C222&gt;0.005,C222-F222-G222,0)</f>
        <v/>
      </c>
      <c r="I222" s="13">
        <f>IF(A222="","",INT((205-1)/12)+1)</f>
        <v/>
      </c>
    </row>
    <row r="223">
      <c r="A223" s="13">
        <f>IF(C223&gt;0.005,206,"")</f>
        <v/>
      </c>
      <c r="B223" s="14">
        <f>IF(A223="","",EDATE($C$7,206-1))</f>
        <v/>
      </c>
      <c r="C223" s="15">
        <f>H222</f>
        <v/>
      </c>
      <c r="D223" s="15">
        <f>IF(C223&gt;0.005,IF(C223+E223-$C$10&lt;1,C223+E223,$C$10),0)</f>
        <v/>
      </c>
      <c r="E223" s="15">
        <f>IF(C223&gt;0.005,C223*$C$5/1200,0)</f>
        <v/>
      </c>
      <c r="F223" s="15">
        <f>IF(C223&gt;0.005,D223-E223,0)</f>
        <v/>
      </c>
      <c r="G223" s="15">
        <f>IF(C223&gt;0.005,MIN($C$8,C223-F223),0)</f>
        <v/>
      </c>
      <c r="H223" s="15">
        <f>IF(C223&gt;0.005,C223-F223-G223,0)</f>
        <v/>
      </c>
      <c r="I223" s="13">
        <f>IF(A223="","",INT((206-1)/12)+1)</f>
        <v/>
      </c>
    </row>
    <row r="224">
      <c r="A224" s="13">
        <f>IF(C224&gt;0.005,207,"")</f>
        <v/>
      </c>
      <c r="B224" s="14">
        <f>IF(A224="","",EDATE($C$7,207-1))</f>
        <v/>
      </c>
      <c r="C224" s="15">
        <f>H223</f>
        <v/>
      </c>
      <c r="D224" s="15">
        <f>IF(C224&gt;0.005,IF(C224+E224-$C$10&lt;1,C224+E224,$C$10),0)</f>
        <v/>
      </c>
      <c r="E224" s="15">
        <f>IF(C224&gt;0.005,C224*$C$5/1200,0)</f>
        <v/>
      </c>
      <c r="F224" s="15">
        <f>IF(C224&gt;0.005,D224-E224,0)</f>
        <v/>
      </c>
      <c r="G224" s="15">
        <f>IF(C224&gt;0.005,MIN($C$8,C224-F224),0)</f>
        <v/>
      </c>
      <c r="H224" s="15">
        <f>IF(C224&gt;0.005,C224-F224-G224,0)</f>
        <v/>
      </c>
      <c r="I224" s="13">
        <f>IF(A224="","",INT((207-1)/12)+1)</f>
        <v/>
      </c>
    </row>
    <row r="225">
      <c r="A225" s="13">
        <f>IF(C225&gt;0.005,208,"")</f>
        <v/>
      </c>
      <c r="B225" s="14">
        <f>IF(A225="","",EDATE($C$7,208-1))</f>
        <v/>
      </c>
      <c r="C225" s="15">
        <f>H224</f>
        <v/>
      </c>
      <c r="D225" s="15">
        <f>IF(C225&gt;0.005,IF(C225+E225-$C$10&lt;1,C225+E225,$C$10),0)</f>
        <v/>
      </c>
      <c r="E225" s="15">
        <f>IF(C225&gt;0.005,C225*$C$5/1200,0)</f>
        <v/>
      </c>
      <c r="F225" s="15">
        <f>IF(C225&gt;0.005,D225-E225,0)</f>
        <v/>
      </c>
      <c r="G225" s="15">
        <f>IF(C225&gt;0.005,MIN($C$8,C225-F225),0)</f>
        <v/>
      </c>
      <c r="H225" s="15">
        <f>IF(C225&gt;0.005,C225-F225-G225,0)</f>
        <v/>
      </c>
      <c r="I225" s="13">
        <f>IF(A225="","",INT((208-1)/12)+1)</f>
        <v/>
      </c>
    </row>
    <row r="226">
      <c r="A226" s="13">
        <f>IF(C226&gt;0.005,209,"")</f>
        <v/>
      </c>
      <c r="B226" s="14">
        <f>IF(A226="","",EDATE($C$7,209-1))</f>
        <v/>
      </c>
      <c r="C226" s="15">
        <f>H225</f>
        <v/>
      </c>
      <c r="D226" s="15">
        <f>IF(C226&gt;0.005,IF(C226+E226-$C$10&lt;1,C226+E226,$C$10),0)</f>
        <v/>
      </c>
      <c r="E226" s="15">
        <f>IF(C226&gt;0.005,C226*$C$5/1200,0)</f>
        <v/>
      </c>
      <c r="F226" s="15">
        <f>IF(C226&gt;0.005,D226-E226,0)</f>
        <v/>
      </c>
      <c r="G226" s="15">
        <f>IF(C226&gt;0.005,MIN($C$8,C226-F226),0)</f>
        <v/>
      </c>
      <c r="H226" s="15">
        <f>IF(C226&gt;0.005,C226-F226-G226,0)</f>
        <v/>
      </c>
      <c r="I226" s="13">
        <f>IF(A226="","",INT((209-1)/12)+1)</f>
        <v/>
      </c>
    </row>
    <row r="227">
      <c r="A227" s="13">
        <f>IF(C227&gt;0.005,210,"")</f>
        <v/>
      </c>
      <c r="B227" s="14">
        <f>IF(A227="","",EDATE($C$7,210-1))</f>
        <v/>
      </c>
      <c r="C227" s="15">
        <f>H226</f>
        <v/>
      </c>
      <c r="D227" s="15">
        <f>IF(C227&gt;0.005,IF(C227+E227-$C$10&lt;1,C227+E227,$C$10),0)</f>
        <v/>
      </c>
      <c r="E227" s="15">
        <f>IF(C227&gt;0.005,C227*$C$5/1200,0)</f>
        <v/>
      </c>
      <c r="F227" s="15">
        <f>IF(C227&gt;0.005,D227-E227,0)</f>
        <v/>
      </c>
      <c r="G227" s="15">
        <f>IF(C227&gt;0.005,MIN($C$8,C227-F227),0)</f>
        <v/>
      </c>
      <c r="H227" s="15">
        <f>IF(C227&gt;0.005,C227-F227-G227,0)</f>
        <v/>
      </c>
      <c r="I227" s="13">
        <f>IF(A227="","",INT((210-1)/12)+1)</f>
        <v/>
      </c>
    </row>
    <row r="228">
      <c r="A228" s="13">
        <f>IF(C228&gt;0.005,211,"")</f>
        <v/>
      </c>
      <c r="B228" s="14">
        <f>IF(A228="","",EDATE($C$7,211-1))</f>
        <v/>
      </c>
      <c r="C228" s="15">
        <f>H227</f>
        <v/>
      </c>
      <c r="D228" s="15">
        <f>IF(C228&gt;0.005,IF(C228+E228-$C$10&lt;1,C228+E228,$C$10),0)</f>
        <v/>
      </c>
      <c r="E228" s="15">
        <f>IF(C228&gt;0.005,C228*$C$5/1200,0)</f>
        <v/>
      </c>
      <c r="F228" s="15">
        <f>IF(C228&gt;0.005,D228-E228,0)</f>
        <v/>
      </c>
      <c r="G228" s="15">
        <f>IF(C228&gt;0.005,MIN($C$8,C228-F228),0)</f>
        <v/>
      </c>
      <c r="H228" s="15">
        <f>IF(C228&gt;0.005,C228-F228-G228,0)</f>
        <v/>
      </c>
      <c r="I228" s="13">
        <f>IF(A228="","",INT((211-1)/12)+1)</f>
        <v/>
      </c>
    </row>
    <row r="229">
      <c r="A229" s="13">
        <f>IF(C229&gt;0.005,212,"")</f>
        <v/>
      </c>
      <c r="B229" s="14">
        <f>IF(A229="","",EDATE($C$7,212-1))</f>
        <v/>
      </c>
      <c r="C229" s="15">
        <f>H228</f>
        <v/>
      </c>
      <c r="D229" s="15">
        <f>IF(C229&gt;0.005,IF(C229+E229-$C$10&lt;1,C229+E229,$C$10),0)</f>
        <v/>
      </c>
      <c r="E229" s="15">
        <f>IF(C229&gt;0.005,C229*$C$5/1200,0)</f>
        <v/>
      </c>
      <c r="F229" s="15">
        <f>IF(C229&gt;0.005,D229-E229,0)</f>
        <v/>
      </c>
      <c r="G229" s="15">
        <f>IF(C229&gt;0.005,MIN($C$8,C229-F229),0)</f>
        <v/>
      </c>
      <c r="H229" s="15">
        <f>IF(C229&gt;0.005,C229-F229-G229,0)</f>
        <v/>
      </c>
      <c r="I229" s="13">
        <f>IF(A229="","",INT((212-1)/12)+1)</f>
        <v/>
      </c>
    </row>
    <row r="230">
      <c r="A230" s="13">
        <f>IF(C230&gt;0.005,213,"")</f>
        <v/>
      </c>
      <c r="B230" s="14">
        <f>IF(A230="","",EDATE($C$7,213-1))</f>
        <v/>
      </c>
      <c r="C230" s="15">
        <f>H229</f>
        <v/>
      </c>
      <c r="D230" s="15">
        <f>IF(C230&gt;0.005,IF(C230+E230-$C$10&lt;1,C230+E230,$C$10),0)</f>
        <v/>
      </c>
      <c r="E230" s="15">
        <f>IF(C230&gt;0.005,C230*$C$5/1200,0)</f>
        <v/>
      </c>
      <c r="F230" s="15">
        <f>IF(C230&gt;0.005,D230-E230,0)</f>
        <v/>
      </c>
      <c r="G230" s="15">
        <f>IF(C230&gt;0.005,MIN($C$8,C230-F230),0)</f>
        <v/>
      </c>
      <c r="H230" s="15">
        <f>IF(C230&gt;0.005,C230-F230-G230,0)</f>
        <v/>
      </c>
      <c r="I230" s="13">
        <f>IF(A230="","",INT((213-1)/12)+1)</f>
        <v/>
      </c>
    </row>
    <row r="231">
      <c r="A231" s="13">
        <f>IF(C231&gt;0.005,214,"")</f>
        <v/>
      </c>
      <c r="B231" s="14">
        <f>IF(A231="","",EDATE($C$7,214-1))</f>
        <v/>
      </c>
      <c r="C231" s="15">
        <f>H230</f>
        <v/>
      </c>
      <c r="D231" s="15">
        <f>IF(C231&gt;0.005,IF(C231+E231-$C$10&lt;1,C231+E231,$C$10),0)</f>
        <v/>
      </c>
      <c r="E231" s="15">
        <f>IF(C231&gt;0.005,C231*$C$5/1200,0)</f>
        <v/>
      </c>
      <c r="F231" s="15">
        <f>IF(C231&gt;0.005,D231-E231,0)</f>
        <v/>
      </c>
      <c r="G231" s="15">
        <f>IF(C231&gt;0.005,MIN($C$8,C231-F231),0)</f>
        <v/>
      </c>
      <c r="H231" s="15">
        <f>IF(C231&gt;0.005,C231-F231-G231,0)</f>
        <v/>
      </c>
      <c r="I231" s="13">
        <f>IF(A231="","",INT((214-1)/12)+1)</f>
        <v/>
      </c>
    </row>
    <row r="232">
      <c r="A232" s="13">
        <f>IF(C232&gt;0.005,215,"")</f>
        <v/>
      </c>
      <c r="B232" s="14">
        <f>IF(A232="","",EDATE($C$7,215-1))</f>
        <v/>
      </c>
      <c r="C232" s="15">
        <f>H231</f>
        <v/>
      </c>
      <c r="D232" s="15">
        <f>IF(C232&gt;0.005,IF(C232+E232-$C$10&lt;1,C232+E232,$C$10),0)</f>
        <v/>
      </c>
      <c r="E232" s="15">
        <f>IF(C232&gt;0.005,C232*$C$5/1200,0)</f>
        <v/>
      </c>
      <c r="F232" s="15">
        <f>IF(C232&gt;0.005,D232-E232,0)</f>
        <v/>
      </c>
      <c r="G232" s="15">
        <f>IF(C232&gt;0.005,MIN($C$8,C232-F232),0)</f>
        <v/>
      </c>
      <c r="H232" s="15">
        <f>IF(C232&gt;0.005,C232-F232-G232,0)</f>
        <v/>
      </c>
      <c r="I232" s="13">
        <f>IF(A232="","",INT((215-1)/12)+1)</f>
        <v/>
      </c>
    </row>
    <row r="233">
      <c r="A233" s="13">
        <f>IF(C233&gt;0.005,216,"")</f>
        <v/>
      </c>
      <c r="B233" s="14">
        <f>IF(A233="","",EDATE($C$7,216-1))</f>
        <v/>
      </c>
      <c r="C233" s="15">
        <f>H232</f>
        <v/>
      </c>
      <c r="D233" s="15">
        <f>IF(C233&gt;0.005,IF(C233+E233-$C$10&lt;1,C233+E233,$C$10),0)</f>
        <v/>
      </c>
      <c r="E233" s="15">
        <f>IF(C233&gt;0.005,C233*$C$5/1200,0)</f>
        <v/>
      </c>
      <c r="F233" s="15">
        <f>IF(C233&gt;0.005,D233-E233,0)</f>
        <v/>
      </c>
      <c r="G233" s="15">
        <f>IF(C233&gt;0.005,MIN($C$8,C233-F233),0)</f>
        <v/>
      </c>
      <c r="H233" s="15">
        <f>IF(C233&gt;0.005,C233-F233-G233,0)</f>
        <v/>
      </c>
      <c r="I233" s="13">
        <f>IF(A233="","",INT((216-1)/12)+1)</f>
        <v/>
      </c>
    </row>
    <row r="234">
      <c r="A234" s="13">
        <f>IF(C234&gt;0.005,217,"")</f>
        <v/>
      </c>
      <c r="B234" s="14">
        <f>IF(A234="","",EDATE($C$7,217-1))</f>
        <v/>
      </c>
      <c r="C234" s="15">
        <f>H233</f>
        <v/>
      </c>
      <c r="D234" s="15">
        <f>IF(C234&gt;0.005,IF(C234+E234-$C$10&lt;1,C234+E234,$C$10),0)</f>
        <v/>
      </c>
      <c r="E234" s="15">
        <f>IF(C234&gt;0.005,C234*$C$5/1200,0)</f>
        <v/>
      </c>
      <c r="F234" s="15">
        <f>IF(C234&gt;0.005,D234-E234,0)</f>
        <v/>
      </c>
      <c r="G234" s="15">
        <f>IF(C234&gt;0.005,MIN($C$8,C234-F234),0)</f>
        <v/>
      </c>
      <c r="H234" s="15">
        <f>IF(C234&gt;0.005,C234-F234-G234,0)</f>
        <v/>
      </c>
      <c r="I234" s="13">
        <f>IF(A234="","",INT((217-1)/12)+1)</f>
        <v/>
      </c>
    </row>
    <row r="235">
      <c r="A235" s="13">
        <f>IF(C235&gt;0.005,218,"")</f>
        <v/>
      </c>
      <c r="B235" s="14">
        <f>IF(A235="","",EDATE($C$7,218-1))</f>
        <v/>
      </c>
      <c r="C235" s="15">
        <f>H234</f>
        <v/>
      </c>
      <c r="D235" s="15">
        <f>IF(C235&gt;0.005,IF(C235+E235-$C$10&lt;1,C235+E235,$C$10),0)</f>
        <v/>
      </c>
      <c r="E235" s="15">
        <f>IF(C235&gt;0.005,C235*$C$5/1200,0)</f>
        <v/>
      </c>
      <c r="F235" s="15">
        <f>IF(C235&gt;0.005,D235-E235,0)</f>
        <v/>
      </c>
      <c r="G235" s="15">
        <f>IF(C235&gt;0.005,MIN($C$8,C235-F235),0)</f>
        <v/>
      </c>
      <c r="H235" s="15">
        <f>IF(C235&gt;0.005,C235-F235-G235,0)</f>
        <v/>
      </c>
      <c r="I235" s="13">
        <f>IF(A235="","",INT((218-1)/12)+1)</f>
        <v/>
      </c>
    </row>
    <row r="236">
      <c r="A236" s="13">
        <f>IF(C236&gt;0.005,219,"")</f>
        <v/>
      </c>
      <c r="B236" s="14">
        <f>IF(A236="","",EDATE($C$7,219-1))</f>
        <v/>
      </c>
      <c r="C236" s="15">
        <f>H235</f>
        <v/>
      </c>
      <c r="D236" s="15">
        <f>IF(C236&gt;0.005,IF(C236+E236-$C$10&lt;1,C236+E236,$C$10),0)</f>
        <v/>
      </c>
      <c r="E236" s="15">
        <f>IF(C236&gt;0.005,C236*$C$5/1200,0)</f>
        <v/>
      </c>
      <c r="F236" s="15">
        <f>IF(C236&gt;0.005,D236-E236,0)</f>
        <v/>
      </c>
      <c r="G236" s="15">
        <f>IF(C236&gt;0.005,MIN($C$8,C236-F236),0)</f>
        <v/>
      </c>
      <c r="H236" s="15">
        <f>IF(C236&gt;0.005,C236-F236-G236,0)</f>
        <v/>
      </c>
      <c r="I236" s="13">
        <f>IF(A236="","",INT((219-1)/12)+1)</f>
        <v/>
      </c>
    </row>
    <row r="237">
      <c r="A237" s="13">
        <f>IF(C237&gt;0.005,220,"")</f>
        <v/>
      </c>
      <c r="B237" s="14">
        <f>IF(A237="","",EDATE($C$7,220-1))</f>
        <v/>
      </c>
      <c r="C237" s="15">
        <f>H236</f>
        <v/>
      </c>
      <c r="D237" s="15">
        <f>IF(C237&gt;0.005,IF(C237+E237-$C$10&lt;1,C237+E237,$C$10),0)</f>
        <v/>
      </c>
      <c r="E237" s="15">
        <f>IF(C237&gt;0.005,C237*$C$5/1200,0)</f>
        <v/>
      </c>
      <c r="F237" s="15">
        <f>IF(C237&gt;0.005,D237-E237,0)</f>
        <v/>
      </c>
      <c r="G237" s="15">
        <f>IF(C237&gt;0.005,MIN($C$8,C237-F237),0)</f>
        <v/>
      </c>
      <c r="H237" s="15">
        <f>IF(C237&gt;0.005,C237-F237-G237,0)</f>
        <v/>
      </c>
      <c r="I237" s="13">
        <f>IF(A237="","",INT((220-1)/12)+1)</f>
        <v/>
      </c>
    </row>
    <row r="238">
      <c r="A238" s="13">
        <f>IF(C238&gt;0.005,221,"")</f>
        <v/>
      </c>
      <c r="B238" s="14">
        <f>IF(A238="","",EDATE($C$7,221-1))</f>
        <v/>
      </c>
      <c r="C238" s="15">
        <f>H237</f>
        <v/>
      </c>
      <c r="D238" s="15">
        <f>IF(C238&gt;0.005,IF(C238+E238-$C$10&lt;1,C238+E238,$C$10),0)</f>
        <v/>
      </c>
      <c r="E238" s="15">
        <f>IF(C238&gt;0.005,C238*$C$5/1200,0)</f>
        <v/>
      </c>
      <c r="F238" s="15">
        <f>IF(C238&gt;0.005,D238-E238,0)</f>
        <v/>
      </c>
      <c r="G238" s="15">
        <f>IF(C238&gt;0.005,MIN($C$8,C238-F238),0)</f>
        <v/>
      </c>
      <c r="H238" s="15">
        <f>IF(C238&gt;0.005,C238-F238-G238,0)</f>
        <v/>
      </c>
      <c r="I238" s="13">
        <f>IF(A238="","",INT((221-1)/12)+1)</f>
        <v/>
      </c>
    </row>
    <row r="239">
      <c r="A239" s="13">
        <f>IF(C239&gt;0.005,222,"")</f>
        <v/>
      </c>
      <c r="B239" s="14">
        <f>IF(A239="","",EDATE($C$7,222-1))</f>
        <v/>
      </c>
      <c r="C239" s="15">
        <f>H238</f>
        <v/>
      </c>
      <c r="D239" s="15">
        <f>IF(C239&gt;0.005,IF(C239+E239-$C$10&lt;1,C239+E239,$C$10),0)</f>
        <v/>
      </c>
      <c r="E239" s="15">
        <f>IF(C239&gt;0.005,C239*$C$5/1200,0)</f>
        <v/>
      </c>
      <c r="F239" s="15">
        <f>IF(C239&gt;0.005,D239-E239,0)</f>
        <v/>
      </c>
      <c r="G239" s="15">
        <f>IF(C239&gt;0.005,MIN($C$8,C239-F239),0)</f>
        <v/>
      </c>
      <c r="H239" s="15">
        <f>IF(C239&gt;0.005,C239-F239-G239,0)</f>
        <v/>
      </c>
      <c r="I239" s="13">
        <f>IF(A239="","",INT((222-1)/12)+1)</f>
        <v/>
      </c>
    </row>
    <row r="240">
      <c r="A240" s="13">
        <f>IF(C240&gt;0.005,223,"")</f>
        <v/>
      </c>
      <c r="B240" s="14">
        <f>IF(A240="","",EDATE($C$7,223-1))</f>
        <v/>
      </c>
      <c r="C240" s="15">
        <f>H239</f>
        <v/>
      </c>
      <c r="D240" s="15">
        <f>IF(C240&gt;0.005,IF(C240+E240-$C$10&lt;1,C240+E240,$C$10),0)</f>
        <v/>
      </c>
      <c r="E240" s="15">
        <f>IF(C240&gt;0.005,C240*$C$5/1200,0)</f>
        <v/>
      </c>
      <c r="F240" s="15">
        <f>IF(C240&gt;0.005,D240-E240,0)</f>
        <v/>
      </c>
      <c r="G240" s="15">
        <f>IF(C240&gt;0.005,MIN($C$8,C240-F240),0)</f>
        <v/>
      </c>
      <c r="H240" s="15">
        <f>IF(C240&gt;0.005,C240-F240-G240,0)</f>
        <v/>
      </c>
      <c r="I240" s="13">
        <f>IF(A240="","",INT((223-1)/12)+1)</f>
        <v/>
      </c>
    </row>
    <row r="241">
      <c r="A241" s="13">
        <f>IF(C241&gt;0.005,224,"")</f>
        <v/>
      </c>
      <c r="B241" s="14">
        <f>IF(A241="","",EDATE($C$7,224-1))</f>
        <v/>
      </c>
      <c r="C241" s="15">
        <f>H240</f>
        <v/>
      </c>
      <c r="D241" s="15">
        <f>IF(C241&gt;0.005,IF(C241+E241-$C$10&lt;1,C241+E241,$C$10),0)</f>
        <v/>
      </c>
      <c r="E241" s="15">
        <f>IF(C241&gt;0.005,C241*$C$5/1200,0)</f>
        <v/>
      </c>
      <c r="F241" s="15">
        <f>IF(C241&gt;0.005,D241-E241,0)</f>
        <v/>
      </c>
      <c r="G241" s="15">
        <f>IF(C241&gt;0.005,MIN($C$8,C241-F241),0)</f>
        <v/>
      </c>
      <c r="H241" s="15">
        <f>IF(C241&gt;0.005,C241-F241-G241,0)</f>
        <v/>
      </c>
      <c r="I241" s="13">
        <f>IF(A241="","",INT((224-1)/12)+1)</f>
        <v/>
      </c>
    </row>
    <row r="242">
      <c r="A242" s="13">
        <f>IF(C242&gt;0.005,225,"")</f>
        <v/>
      </c>
      <c r="B242" s="14">
        <f>IF(A242="","",EDATE($C$7,225-1))</f>
        <v/>
      </c>
      <c r="C242" s="15">
        <f>H241</f>
        <v/>
      </c>
      <c r="D242" s="15">
        <f>IF(C242&gt;0.005,IF(C242+E242-$C$10&lt;1,C242+E242,$C$10),0)</f>
        <v/>
      </c>
      <c r="E242" s="15">
        <f>IF(C242&gt;0.005,C242*$C$5/1200,0)</f>
        <v/>
      </c>
      <c r="F242" s="15">
        <f>IF(C242&gt;0.005,D242-E242,0)</f>
        <v/>
      </c>
      <c r="G242" s="15">
        <f>IF(C242&gt;0.005,MIN($C$8,C242-F242),0)</f>
        <v/>
      </c>
      <c r="H242" s="15">
        <f>IF(C242&gt;0.005,C242-F242-G242,0)</f>
        <v/>
      </c>
      <c r="I242" s="13">
        <f>IF(A242="","",INT((225-1)/12)+1)</f>
        <v/>
      </c>
    </row>
    <row r="243">
      <c r="A243" s="13">
        <f>IF(C243&gt;0.005,226,"")</f>
        <v/>
      </c>
      <c r="B243" s="14">
        <f>IF(A243="","",EDATE($C$7,226-1))</f>
        <v/>
      </c>
      <c r="C243" s="15">
        <f>H242</f>
        <v/>
      </c>
      <c r="D243" s="15">
        <f>IF(C243&gt;0.005,IF(C243+E243-$C$10&lt;1,C243+E243,$C$10),0)</f>
        <v/>
      </c>
      <c r="E243" s="15">
        <f>IF(C243&gt;0.005,C243*$C$5/1200,0)</f>
        <v/>
      </c>
      <c r="F243" s="15">
        <f>IF(C243&gt;0.005,D243-E243,0)</f>
        <v/>
      </c>
      <c r="G243" s="15">
        <f>IF(C243&gt;0.005,MIN($C$8,C243-F243),0)</f>
        <v/>
      </c>
      <c r="H243" s="15">
        <f>IF(C243&gt;0.005,C243-F243-G243,0)</f>
        <v/>
      </c>
      <c r="I243" s="13">
        <f>IF(A243="","",INT((226-1)/12)+1)</f>
        <v/>
      </c>
    </row>
    <row r="244">
      <c r="A244" s="13">
        <f>IF(C244&gt;0.005,227,"")</f>
        <v/>
      </c>
      <c r="B244" s="14">
        <f>IF(A244="","",EDATE($C$7,227-1))</f>
        <v/>
      </c>
      <c r="C244" s="15">
        <f>H243</f>
        <v/>
      </c>
      <c r="D244" s="15">
        <f>IF(C244&gt;0.005,IF(C244+E244-$C$10&lt;1,C244+E244,$C$10),0)</f>
        <v/>
      </c>
      <c r="E244" s="15">
        <f>IF(C244&gt;0.005,C244*$C$5/1200,0)</f>
        <v/>
      </c>
      <c r="F244" s="15">
        <f>IF(C244&gt;0.005,D244-E244,0)</f>
        <v/>
      </c>
      <c r="G244" s="15">
        <f>IF(C244&gt;0.005,MIN($C$8,C244-F244),0)</f>
        <v/>
      </c>
      <c r="H244" s="15">
        <f>IF(C244&gt;0.005,C244-F244-G244,0)</f>
        <v/>
      </c>
      <c r="I244" s="13">
        <f>IF(A244="","",INT((227-1)/12)+1)</f>
        <v/>
      </c>
    </row>
    <row r="245">
      <c r="A245" s="13">
        <f>IF(C245&gt;0.005,228,"")</f>
        <v/>
      </c>
      <c r="B245" s="14">
        <f>IF(A245="","",EDATE($C$7,228-1))</f>
        <v/>
      </c>
      <c r="C245" s="15">
        <f>H244</f>
        <v/>
      </c>
      <c r="D245" s="15">
        <f>IF(C245&gt;0.005,IF(C245+E245-$C$10&lt;1,C245+E245,$C$10),0)</f>
        <v/>
      </c>
      <c r="E245" s="15">
        <f>IF(C245&gt;0.005,C245*$C$5/1200,0)</f>
        <v/>
      </c>
      <c r="F245" s="15">
        <f>IF(C245&gt;0.005,D245-E245,0)</f>
        <v/>
      </c>
      <c r="G245" s="15">
        <f>IF(C245&gt;0.005,MIN($C$8,C245-F245),0)</f>
        <v/>
      </c>
      <c r="H245" s="15">
        <f>IF(C245&gt;0.005,C245-F245-G245,0)</f>
        <v/>
      </c>
      <c r="I245" s="13">
        <f>IF(A245="","",INT((228-1)/12)+1)</f>
        <v/>
      </c>
    </row>
    <row r="246">
      <c r="A246" s="13">
        <f>IF(C246&gt;0.005,229,"")</f>
        <v/>
      </c>
      <c r="B246" s="14">
        <f>IF(A246="","",EDATE($C$7,229-1))</f>
        <v/>
      </c>
      <c r="C246" s="15">
        <f>H245</f>
        <v/>
      </c>
      <c r="D246" s="15">
        <f>IF(C246&gt;0.005,IF(C246+E246-$C$10&lt;1,C246+E246,$C$10),0)</f>
        <v/>
      </c>
      <c r="E246" s="15">
        <f>IF(C246&gt;0.005,C246*$C$5/1200,0)</f>
        <v/>
      </c>
      <c r="F246" s="15">
        <f>IF(C246&gt;0.005,D246-E246,0)</f>
        <v/>
      </c>
      <c r="G246" s="15">
        <f>IF(C246&gt;0.005,MIN($C$8,C246-F246),0)</f>
        <v/>
      </c>
      <c r="H246" s="15">
        <f>IF(C246&gt;0.005,C246-F246-G246,0)</f>
        <v/>
      </c>
      <c r="I246" s="13">
        <f>IF(A246="","",INT((229-1)/12)+1)</f>
        <v/>
      </c>
    </row>
    <row r="247">
      <c r="A247" s="13">
        <f>IF(C247&gt;0.005,230,"")</f>
        <v/>
      </c>
      <c r="B247" s="14">
        <f>IF(A247="","",EDATE($C$7,230-1))</f>
        <v/>
      </c>
      <c r="C247" s="15">
        <f>H246</f>
        <v/>
      </c>
      <c r="D247" s="15">
        <f>IF(C247&gt;0.005,IF(C247+E247-$C$10&lt;1,C247+E247,$C$10),0)</f>
        <v/>
      </c>
      <c r="E247" s="15">
        <f>IF(C247&gt;0.005,C247*$C$5/1200,0)</f>
        <v/>
      </c>
      <c r="F247" s="15">
        <f>IF(C247&gt;0.005,D247-E247,0)</f>
        <v/>
      </c>
      <c r="G247" s="15">
        <f>IF(C247&gt;0.005,MIN($C$8,C247-F247),0)</f>
        <v/>
      </c>
      <c r="H247" s="15">
        <f>IF(C247&gt;0.005,C247-F247-G247,0)</f>
        <v/>
      </c>
      <c r="I247" s="13">
        <f>IF(A247="","",INT((230-1)/12)+1)</f>
        <v/>
      </c>
    </row>
    <row r="248">
      <c r="A248" s="13">
        <f>IF(C248&gt;0.005,231,"")</f>
        <v/>
      </c>
      <c r="B248" s="14">
        <f>IF(A248="","",EDATE($C$7,231-1))</f>
        <v/>
      </c>
      <c r="C248" s="15">
        <f>H247</f>
        <v/>
      </c>
      <c r="D248" s="15">
        <f>IF(C248&gt;0.005,IF(C248+E248-$C$10&lt;1,C248+E248,$C$10),0)</f>
        <v/>
      </c>
      <c r="E248" s="15">
        <f>IF(C248&gt;0.005,C248*$C$5/1200,0)</f>
        <v/>
      </c>
      <c r="F248" s="15">
        <f>IF(C248&gt;0.005,D248-E248,0)</f>
        <v/>
      </c>
      <c r="G248" s="15">
        <f>IF(C248&gt;0.005,MIN($C$8,C248-F248),0)</f>
        <v/>
      </c>
      <c r="H248" s="15">
        <f>IF(C248&gt;0.005,C248-F248-G248,0)</f>
        <v/>
      </c>
      <c r="I248" s="13">
        <f>IF(A248="","",INT((231-1)/12)+1)</f>
        <v/>
      </c>
    </row>
    <row r="249">
      <c r="A249" s="13">
        <f>IF(C249&gt;0.005,232,"")</f>
        <v/>
      </c>
      <c r="B249" s="14">
        <f>IF(A249="","",EDATE($C$7,232-1))</f>
        <v/>
      </c>
      <c r="C249" s="15">
        <f>H248</f>
        <v/>
      </c>
      <c r="D249" s="15">
        <f>IF(C249&gt;0.005,IF(C249+E249-$C$10&lt;1,C249+E249,$C$10),0)</f>
        <v/>
      </c>
      <c r="E249" s="15">
        <f>IF(C249&gt;0.005,C249*$C$5/1200,0)</f>
        <v/>
      </c>
      <c r="F249" s="15">
        <f>IF(C249&gt;0.005,D249-E249,0)</f>
        <v/>
      </c>
      <c r="G249" s="15">
        <f>IF(C249&gt;0.005,MIN($C$8,C249-F249),0)</f>
        <v/>
      </c>
      <c r="H249" s="15">
        <f>IF(C249&gt;0.005,C249-F249-G249,0)</f>
        <v/>
      </c>
      <c r="I249" s="13">
        <f>IF(A249="","",INT((232-1)/12)+1)</f>
        <v/>
      </c>
    </row>
    <row r="250">
      <c r="A250" s="13">
        <f>IF(C250&gt;0.005,233,"")</f>
        <v/>
      </c>
      <c r="B250" s="14">
        <f>IF(A250="","",EDATE($C$7,233-1))</f>
        <v/>
      </c>
      <c r="C250" s="15">
        <f>H249</f>
        <v/>
      </c>
      <c r="D250" s="15">
        <f>IF(C250&gt;0.005,IF(C250+E250-$C$10&lt;1,C250+E250,$C$10),0)</f>
        <v/>
      </c>
      <c r="E250" s="15">
        <f>IF(C250&gt;0.005,C250*$C$5/1200,0)</f>
        <v/>
      </c>
      <c r="F250" s="15">
        <f>IF(C250&gt;0.005,D250-E250,0)</f>
        <v/>
      </c>
      <c r="G250" s="15">
        <f>IF(C250&gt;0.005,MIN($C$8,C250-F250),0)</f>
        <v/>
      </c>
      <c r="H250" s="15">
        <f>IF(C250&gt;0.005,C250-F250-G250,0)</f>
        <v/>
      </c>
      <c r="I250" s="13">
        <f>IF(A250="","",INT((233-1)/12)+1)</f>
        <v/>
      </c>
    </row>
    <row r="251">
      <c r="A251" s="13">
        <f>IF(C251&gt;0.005,234,"")</f>
        <v/>
      </c>
      <c r="B251" s="14">
        <f>IF(A251="","",EDATE($C$7,234-1))</f>
        <v/>
      </c>
      <c r="C251" s="15">
        <f>H250</f>
        <v/>
      </c>
      <c r="D251" s="15">
        <f>IF(C251&gt;0.005,IF(C251+E251-$C$10&lt;1,C251+E251,$C$10),0)</f>
        <v/>
      </c>
      <c r="E251" s="15">
        <f>IF(C251&gt;0.005,C251*$C$5/1200,0)</f>
        <v/>
      </c>
      <c r="F251" s="15">
        <f>IF(C251&gt;0.005,D251-E251,0)</f>
        <v/>
      </c>
      <c r="G251" s="15">
        <f>IF(C251&gt;0.005,MIN($C$8,C251-F251),0)</f>
        <v/>
      </c>
      <c r="H251" s="15">
        <f>IF(C251&gt;0.005,C251-F251-G251,0)</f>
        <v/>
      </c>
      <c r="I251" s="13">
        <f>IF(A251="","",INT((234-1)/12)+1)</f>
        <v/>
      </c>
    </row>
    <row r="252">
      <c r="A252" s="13">
        <f>IF(C252&gt;0.005,235,"")</f>
        <v/>
      </c>
      <c r="B252" s="14">
        <f>IF(A252="","",EDATE($C$7,235-1))</f>
        <v/>
      </c>
      <c r="C252" s="15">
        <f>H251</f>
        <v/>
      </c>
      <c r="D252" s="15">
        <f>IF(C252&gt;0.005,IF(C252+E252-$C$10&lt;1,C252+E252,$C$10),0)</f>
        <v/>
      </c>
      <c r="E252" s="15">
        <f>IF(C252&gt;0.005,C252*$C$5/1200,0)</f>
        <v/>
      </c>
      <c r="F252" s="15">
        <f>IF(C252&gt;0.005,D252-E252,0)</f>
        <v/>
      </c>
      <c r="G252" s="15">
        <f>IF(C252&gt;0.005,MIN($C$8,C252-F252),0)</f>
        <v/>
      </c>
      <c r="H252" s="15">
        <f>IF(C252&gt;0.005,C252-F252-G252,0)</f>
        <v/>
      </c>
      <c r="I252" s="13">
        <f>IF(A252="","",INT((235-1)/12)+1)</f>
        <v/>
      </c>
    </row>
    <row r="253">
      <c r="A253" s="13">
        <f>IF(C253&gt;0.005,236,"")</f>
        <v/>
      </c>
      <c r="B253" s="14">
        <f>IF(A253="","",EDATE($C$7,236-1))</f>
        <v/>
      </c>
      <c r="C253" s="15">
        <f>H252</f>
        <v/>
      </c>
      <c r="D253" s="15">
        <f>IF(C253&gt;0.005,IF(C253+E253-$C$10&lt;1,C253+E253,$C$10),0)</f>
        <v/>
      </c>
      <c r="E253" s="15">
        <f>IF(C253&gt;0.005,C253*$C$5/1200,0)</f>
        <v/>
      </c>
      <c r="F253" s="15">
        <f>IF(C253&gt;0.005,D253-E253,0)</f>
        <v/>
      </c>
      <c r="G253" s="15">
        <f>IF(C253&gt;0.005,MIN($C$8,C253-F253),0)</f>
        <v/>
      </c>
      <c r="H253" s="15">
        <f>IF(C253&gt;0.005,C253-F253-G253,0)</f>
        <v/>
      </c>
      <c r="I253" s="13">
        <f>IF(A253="","",INT((236-1)/12)+1)</f>
        <v/>
      </c>
    </row>
    <row r="254">
      <c r="A254" s="13">
        <f>IF(C254&gt;0.005,237,"")</f>
        <v/>
      </c>
      <c r="B254" s="14">
        <f>IF(A254="","",EDATE($C$7,237-1))</f>
        <v/>
      </c>
      <c r="C254" s="15">
        <f>H253</f>
        <v/>
      </c>
      <c r="D254" s="15">
        <f>IF(C254&gt;0.005,IF(C254+E254-$C$10&lt;1,C254+E254,$C$10),0)</f>
        <v/>
      </c>
      <c r="E254" s="15">
        <f>IF(C254&gt;0.005,C254*$C$5/1200,0)</f>
        <v/>
      </c>
      <c r="F254" s="15">
        <f>IF(C254&gt;0.005,D254-E254,0)</f>
        <v/>
      </c>
      <c r="G254" s="15">
        <f>IF(C254&gt;0.005,MIN($C$8,C254-F254),0)</f>
        <v/>
      </c>
      <c r="H254" s="15">
        <f>IF(C254&gt;0.005,C254-F254-G254,0)</f>
        <v/>
      </c>
      <c r="I254" s="13">
        <f>IF(A254="","",INT((237-1)/12)+1)</f>
        <v/>
      </c>
    </row>
    <row r="255">
      <c r="A255" s="13">
        <f>IF(C255&gt;0.005,238,"")</f>
        <v/>
      </c>
      <c r="B255" s="14">
        <f>IF(A255="","",EDATE($C$7,238-1))</f>
        <v/>
      </c>
      <c r="C255" s="15">
        <f>H254</f>
        <v/>
      </c>
      <c r="D255" s="15">
        <f>IF(C255&gt;0.005,IF(C255+E255-$C$10&lt;1,C255+E255,$C$10),0)</f>
        <v/>
      </c>
      <c r="E255" s="15">
        <f>IF(C255&gt;0.005,C255*$C$5/1200,0)</f>
        <v/>
      </c>
      <c r="F255" s="15">
        <f>IF(C255&gt;0.005,D255-E255,0)</f>
        <v/>
      </c>
      <c r="G255" s="15">
        <f>IF(C255&gt;0.005,MIN($C$8,C255-F255),0)</f>
        <v/>
      </c>
      <c r="H255" s="15">
        <f>IF(C255&gt;0.005,C255-F255-G255,0)</f>
        <v/>
      </c>
      <c r="I255" s="13">
        <f>IF(A255="","",INT((238-1)/12)+1)</f>
        <v/>
      </c>
    </row>
    <row r="256">
      <c r="A256" s="13">
        <f>IF(C256&gt;0.005,239,"")</f>
        <v/>
      </c>
      <c r="B256" s="14">
        <f>IF(A256="","",EDATE($C$7,239-1))</f>
        <v/>
      </c>
      <c r="C256" s="15">
        <f>H255</f>
        <v/>
      </c>
      <c r="D256" s="15">
        <f>IF(C256&gt;0.005,IF(C256+E256-$C$10&lt;1,C256+E256,$C$10),0)</f>
        <v/>
      </c>
      <c r="E256" s="15">
        <f>IF(C256&gt;0.005,C256*$C$5/1200,0)</f>
        <v/>
      </c>
      <c r="F256" s="15">
        <f>IF(C256&gt;0.005,D256-E256,0)</f>
        <v/>
      </c>
      <c r="G256" s="15">
        <f>IF(C256&gt;0.005,MIN($C$8,C256-F256),0)</f>
        <v/>
      </c>
      <c r="H256" s="15">
        <f>IF(C256&gt;0.005,C256-F256-G256,0)</f>
        <v/>
      </c>
      <c r="I256" s="13">
        <f>IF(A256="","",INT((239-1)/12)+1)</f>
        <v/>
      </c>
    </row>
    <row r="257">
      <c r="A257" s="13">
        <f>IF(C257&gt;0.005,240,"")</f>
        <v/>
      </c>
      <c r="B257" s="14">
        <f>IF(A257="","",EDATE($C$7,240-1))</f>
        <v/>
      </c>
      <c r="C257" s="15">
        <f>H256</f>
        <v/>
      </c>
      <c r="D257" s="15">
        <f>IF(C257&gt;0.005,IF(C257+E257-$C$10&lt;1,C257+E257,$C$10),0)</f>
        <v/>
      </c>
      <c r="E257" s="15">
        <f>IF(C257&gt;0.005,C257*$C$5/1200,0)</f>
        <v/>
      </c>
      <c r="F257" s="15">
        <f>IF(C257&gt;0.005,D257-E257,0)</f>
        <v/>
      </c>
      <c r="G257" s="15">
        <f>IF(C257&gt;0.005,MIN($C$8,C257-F257),0)</f>
        <v/>
      </c>
      <c r="H257" s="15">
        <f>IF(C257&gt;0.005,C257-F257-G257,0)</f>
        <v/>
      </c>
      <c r="I257" s="13">
        <f>IF(A257="","",INT((240-1)/12)+1)</f>
        <v/>
      </c>
    </row>
    <row r="258">
      <c r="A258" s="13">
        <f>IF(C258&gt;0.005,241,"")</f>
        <v/>
      </c>
      <c r="B258" s="14">
        <f>IF(A258="","",EDATE($C$7,241-1))</f>
        <v/>
      </c>
      <c r="C258" s="15">
        <f>H257</f>
        <v/>
      </c>
      <c r="D258" s="15">
        <f>IF(C258&gt;0.005,IF(C258+E258-$C$10&lt;1,C258+E258,$C$10),0)</f>
        <v/>
      </c>
      <c r="E258" s="15">
        <f>IF(C258&gt;0.005,C258*$C$5/1200,0)</f>
        <v/>
      </c>
      <c r="F258" s="15">
        <f>IF(C258&gt;0.005,D258-E258,0)</f>
        <v/>
      </c>
      <c r="G258" s="15">
        <f>IF(C258&gt;0.005,MIN($C$8,C258-F258),0)</f>
        <v/>
      </c>
      <c r="H258" s="15">
        <f>IF(C258&gt;0.005,C258-F258-G258,0)</f>
        <v/>
      </c>
      <c r="I258" s="13">
        <f>IF(A258="","",INT((241-1)/12)+1)</f>
        <v/>
      </c>
    </row>
    <row r="259">
      <c r="A259" s="13">
        <f>IF(C259&gt;0.005,242,"")</f>
        <v/>
      </c>
      <c r="B259" s="14">
        <f>IF(A259="","",EDATE($C$7,242-1))</f>
        <v/>
      </c>
      <c r="C259" s="15">
        <f>H258</f>
        <v/>
      </c>
      <c r="D259" s="15">
        <f>IF(C259&gt;0.005,IF(C259+E259-$C$10&lt;1,C259+E259,$C$10),0)</f>
        <v/>
      </c>
      <c r="E259" s="15">
        <f>IF(C259&gt;0.005,C259*$C$5/1200,0)</f>
        <v/>
      </c>
      <c r="F259" s="15">
        <f>IF(C259&gt;0.005,D259-E259,0)</f>
        <v/>
      </c>
      <c r="G259" s="15">
        <f>IF(C259&gt;0.005,MIN($C$8,C259-F259),0)</f>
        <v/>
      </c>
      <c r="H259" s="15">
        <f>IF(C259&gt;0.005,C259-F259-G259,0)</f>
        <v/>
      </c>
      <c r="I259" s="13">
        <f>IF(A259="","",INT((242-1)/12)+1)</f>
        <v/>
      </c>
    </row>
    <row r="260">
      <c r="A260" s="13">
        <f>IF(C260&gt;0.005,243,"")</f>
        <v/>
      </c>
      <c r="B260" s="14">
        <f>IF(A260="","",EDATE($C$7,243-1))</f>
        <v/>
      </c>
      <c r="C260" s="15">
        <f>H259</f>
        <v/>
      </c>
      <c r="D260" s="15">
        <f>IF(C260&gt;0.005,IF(C260+E260-$C$10&lt;1,C260+E260,$C$10),0)</f>
        <v/>
      </c>
      <c r="E260" s="15">
        <f>IF(C260&gt;0.005,C260*$C$5/1200,0)</f>
        <v/>
      </c>
      <c r="F260" s="15">
        <f>IF(C260&gt;0.005,D260-E260,0)</f>
        <v/>
      </c>
      <c r="G260" s="15">
        <f>IF(C260&gt;0.005,MIN($C$8,C260-F260),0)</f>
        <v/>
      </c>
      <c r="H260" s="15">
        <f>IF(C260&gt;0.005,C260-F260-G260,0)</f>
        <v/>
      </c>
      <c r="I260" s="13">
        <f>IF(A260="","",INT((243-1)/12)+1)</f>
        <v/>
      </c>
    </row>
    <row r="261">
      <c r="A261" s="13">
        <f>IF(C261&gt;0.005,244,"")</f>
        <v/>
      </c>
      <c r="B261" s="14">
        <f>IF(A261="","",EDATE($C$7,244-1))</f>
        <v/>
      </c>
      <c r="C261" s="15">
        <f>H260</f>
        <v/>
      </c>
      <c r="D261" s="15">
        <f>IF(C261&gt;0.005,IF(C261+E261-$C$10&lt;1,C261+E261,$C$10),0)</f>
        <v/>
      </c>
      <c r="E261" s="15">
        <f>IF(C261&gt;0.005,C261*$C$5/1200,0)</f>
        <v/>
      </c>
      <c r="F261" s="15">
        <f>IF(C261&gt;0.005,D261-E261,0)</f>
        <v/>
      </c>
      <c r="G261" s="15">
        <f>IF(C261&gt;0.005,MIN($C$8,C261-F261),0)</f>
        <v/>
      </c>
      <c r="H261" s="15">
        <f>IF(C261&gt;0.005,C261-F261-G261,0)</f>
        <v/>
      </c>
      <c r="I261" s="13">
        <f>IF(A261="","",INT((244-1)/12)+1)</f>
        <v/>
      </c>
    </row>
    <row r="262">
      <c r="A262" s="13">
        <f>IF(C262&gt;0.005,245,"")</f>
        <v/>
      </c>
      <c r="B262" s="14">
        <f>IF(A262="","",EDATE($C$7,245-1))</f>
        <v/>
      </c>
      <c r="C262" s="15">
        <f>H261</f>
        <v/>
      </c>
      <c r="D262" s="15">
        <f>IF(C262&gt;0.005,IF(C262+E262-$C$10&lt;1,C262+E262,$C$10),0)</f>
        <v/>
      </c>
      <c r="E262" s="15">
        <f>IF(C262&gt;0.005,C262*$C$5/1200,0)</f>
        <v/>
      </c>
      <c r="F262" s="15">
        <f>IF(C262&gt;0.005,D262-E262,0)</f>
        <v/>
      </c>
      <c r="G262" s="15">
        <f>IF(C262&gt;0.005,MIN($C$8,C262-F262),0)</f>
        <v/>
      </c>
      <c r="H262" s="15">
        <f>IF(C262&gt;0.005,C262-F262-G262,0)</f>
        <v/>
      </c>
      <c r="I262" s="13">
        <f>IF(A262="","",INT((245-1)/12)+1)</f>
        <v/>
      </c>
    </row>
    <row r="263">
      <c r="A263" s="13">
        <f>IF(C263&gt;0.005,246,"")</f>
        <v/>
      </c>
      <c r="B263" s="14">
        <f>IF(A263="","",EDATE($C$7,246-1))</f>
        <v/>
      </c>
      <c r="C263" s="15">
        <f>H262</f>
        <v/>
      </c>
      <c r="D263" s="15">
        <f>IF(C263&gt;0.005,IF(C263+E263-$C$10&lt;1,C263+E263,$C$10),0)</f>
        <v/>
      </c>
      <c r="E263" s="15">
        <f>IF(C263&gt;0.005,C263*$C$5/1200,0)</f>
        <v/>
      </c>
      <c r="F263" s="15">
        <f>IF(C263&gt;0.005,D263-E263,0)</f>
        <v/>
      </c>
      <c r="G263" s="15">
        <f>IF(C263&gt;0.005,MIN($C$8,C263-F263),0)</f>
        <v/>
      </c>
      <c r="H263" s="15">
        <f>IF(C263&gt;0.005,C263-F263-G263,0)</f>
        <v/>
      </c>
      <c r="I263" s="13">
        <f>IF(A263="","",INT((246-1)/12)+1)</f>
        <v/>
      </c>
    </row>
    <row r="264">
      <c r="A264" s="13">
        <f>IF(C264&gt;0.005,247,"")</f>
        <v/>
      </c>
      <c r="B264" s="14">
        <f>IF(A264="","",EDATE($C$7,247-1))</f>
        <v/>
      </c>
      <c r="C264" s="15">
        <f>H263</f>
        <v/>
      </c>
      <c r="D264" s="15">
        <f>IF(C264&gt;0.005,IF(C264+E264-$C$10&lt;1,C264+E264,$C$10),0)</f>
        <v/>
      </c>
      <c r="E264" s="15">
        <f>IF(C264&gt;0.005,C264*$C$5/1200,0)</f>
        <v/>
      </c>
      <c r="F264" s="15">
        <f>IF(C264&gt;0.005,D264-E264,0)</f>
        <v/>
      </c>
      <c r="G264" s="15">
        <f>IF(C264&gt;0.005,MIN($C$8,C264-F264),0)</f>
        <v/>
      </c>
      <c r="H264" s="15">
        <f>IF(C264&gt;0.005,C264-F264-G264,0)</f>
        <v/>
      </c>
      <c r="I264" s="13">
        <f>IF(A264="","",INT((247-1)/12)+1)</f>
        <v/>
      </c>
    </row>
    <row r="265">
      <c r="A265" s="13">
        <f>IF(C265&gt;0.005,248,"")</f>
        <v/>
      </c>
      <c r="B265" s="14">
        <f>IF(A265="","",EDATE($C$7,248-1))</f>
        <v/>
      </c>
      <c r="C265" s="15">
        <f>H264</f>
        <v/>
      </c>
      <c r="D265" s="15">
        <f>IF(C265&gt;0.005,IF(C265+E265-$C$10&lt;1,C265+E265,$C$10),0)</f>
        <v/>
      </c>
      <c r="E265" s="15">
        <f>IF(C265&gt;0.005,C265*$C$5/1200,0)</f>
        <v/>
      </c>
      <c r="F265" s="15">
        <f>IF(C265&gt;0.005,D265-E265,0)</f>
        <v/>
      </c>
      <c r="G265" s="15">
        <f>IF(C265&gt;0.005,MIN($C$8,C265-F265),0)</f>
        <v/>
      </c>
      <c r="H265" s="15">
        <f>IF(C265&gt;0.005,C265-F265-G265,0)</f>
        <v/>
      </c>
      <c r="I265" s="13">
        <f>IF(A265="","",INT((248-1)/12)+1)</f>
        <v/>
      </c>
    </row>
    <row r="266">
      <c r="A266" s="13">
        <f>IF(C266&gt;0.005,249,"")</f>
        <v/>
      </c>
      <c r="B266" s="14">
        <f>IF(A266="","",EDATE($C$7,249-1))</f>
        <v/>
      </c>
      <c r="C266" s="15">
        <f>H265</f>
        <v/>
      </c>
      <c r="D266" s="15">
        <f>IF(C266&gt;0.005,IF(C266+E266-$C$10&lt;1,C266+E266,$C$10),0)</f>
        <v/>
      </c>
      <c r="E266" s="15">
        <f>IF(C266&gt;0.005,C266*$C$5/1200,0)</f>
        <v/>
      </c>
      <c r="F266" s="15">
        <f>IF(C266&gt;0.005,D266-E266,0)</f>
        <v/>
      </c>
      <c r="G266" s="15">
        <f>IF(C266&gt;0.005,MIN($C$8,C266-F266),0)</f>
        <v/>
      </c>
      <c r="H266" s="15">
        <f>IF(C266&gt;0.005,C266-F266-G266,0)</f>
        <v/>
      </c>
      <c r="I266" s="13">
        <f>IF(A266="","",INT((249-1)/12)+1)</f>
        <v/>
      </c>
    </row>
    <row r="267">
      <c r="A267" s="13">
        <f>IF(C267&gt;0.005,250,"")</f>
        <v/>
      </c>
      <c r="B267" s="14">
        <f>IF(A267="","",EDATE($C$7,250-1))</f>
        <v/>
      </c>
      <c r="C267" s="15">
        <f>H266</f>
        <v/>
      </c>
      <c r="D267" s="15">
        <f>IF(C267&gt;0.005,IF(C267+E267-$C$10&lt;1,C267+E267,$C$10),0)</f>
        <v/>
      </c>
      <c r="E267" s="15">
        <f>IF(C267&gt;0.005,C267*$C$5/1200,0)</f>
        <v/>
      </c>
      <c r="F267" s="15">
        <f>IF(C267&gt;0.005,D267-E267,0)</f>
        <v/>
      </c>
      <c r="G267" s="15">
        <f>IF(C267&gt;0.005,MIN($C$8,C267-F267),0)</f>
        <v/>
      </c>
      <c r="H267" s="15">
        <f>IF(C267&gt;0.005,C267-F267-G267,0)</f>
        <v/>
      </c>
      <c r="I267" s="13">
        <f>IF(A267="","",INT((250-1)/12)+1)</f>
        <v/>
      </c>
    </row>
    <row r="268">
      <c r="A268" s="13">
        <f>IF(C268&gt;0.005,251,"")</f>
        <v/>
      </c>
      <c r="B268" s="14">
        <f>IF(A268="","",EDATE($C$7,251-1))</f>
        <v/>
      </c>
      <c r="C268" s="15">
        <f>H267</f>
        <v/>
      </c>
      <c r="D268" s="15">
        <f>IF(C268&gt;0.005,IF(C268+E268-$C$10&lt;1,C268+E268,$C$10),0)</f>
        <v/>
      </c>
      <c r="E268" s="15">
        <f>IF(C268&gt;0.005,C268*$C$5/1200,0)</f>
        <v/>
      </c>
      <c r="F268" s="15">
        <f>IF(C268&gt;0.005,D268-E268,0)</f>
        <v/>
      </c>
      <c r="G268" s="15">
        <f>IF(C268&gt;0.005,MIN($C$8,C268-F268),0)</f>
        <v/>
      </c>
      <c r="H268" s="15">
        <f>IF(C268&gt;0.005,C268-F268-G268,0)</f>
        <v/>
      </c>
      <c r="I268" s="13">
        <f>IF(A268="","",INT((251-1)/12)+1)</f>
        <v/>
      </c>
    </row>
    <row r="269">
      <c r="A269" s="13">
        <f>IF(C269&gt;0.005,252,"")</f>
        <v/>
      </c>
      <c r="B269" s="14">
        <f>IF(A269="","",EDATE($C$7,252-1))</f>
        <v/>
      </c>
      <c r="C269" s="15">
        <f>H268</f>
        <v/>
      </c>
      <c r="D269" s="15">
        <f>IF(C269&gt;0.005,IF(C269+E269-$C$10&lt;1,C269+E269,$C$10),0)</f>
        <v/>
      </c>
      <c r="E269" s="15">
        <f>IF(C269&gt;0.005,C269*$C$5/1200,0)</f>
        <v/>
      </c>
      <c r="F269" s="15">
        <f>IF(C269&gt;0.005,D269-E269,0)</f>
        <v/>
      </c>
      <c r="G269" s="15">
        <f>IF(C269&gt;0.005,MIN($C$8,C269-F269),0)</f>
        <v/>
      </c>
      <c r="H269" s="15">
        <f>IF(C269&gt;0.005,C269-F269-G269,0)</f>
        <v/>
      </c>
      <c r="I269" s="13">
        <f>IF(A269="","",INT((252-1)/12)+1)</f>
        <v/>
      </c>
    </row>
    <row r="270">
      <c r="A270" s="13">
        <f>IF(C270&gt;0.005,253,"")</f>
        <v/>
      </c>
      <c r="B270" s="14">
        <f>IF(A270="","",EDATE($C$7,253-1))</f>
        <v/>
      </c>
      <c r="C270" s="15">
        <f>H269</f>
        <v/>
      </c>
      <c r="D270" s="15">
        <f>IF(C270&gt;0.005,IF(C270+E270-$C$10&lt;1,C270+E270,$C$10),0)</f>
        <v/>
      </c>
      <c r="E270" s="15">
        <f>IF(C270&gt;0.005,C270*$C$5/1200,0)</f>
        <v/>
      </c>
      <c r="F270" s="15">
        <f>IF(C270&gt;0.005,D270-E270,0)</f>
        <v/>
      </c>
      <c r="G270" s="15">
        <f>IF(C270&gt;0.005,MIN($C$8,C270-F270),0)</f>
        <v/>
      </c>
      <c r="H270" s="15">
        <f>IF(C270&gt;0.005,C270-F270-G270,0)</f>
        <v/>
      </c>
      <c r="I270" s="13">
        <f>IF(A270="","",INT((253-1)/12)+1)</f>
        <v/>
      </c>
    </row>
    <row r="271">
      <c r="A271" s="13">
        <f>IF(C271&gt;0.005,254,"")</f>
        <v/>
      </c>
      <c r="B271" s="14">
        <f>IF(A271="","",EDATE($C$7,254-1))</f>
        <v/>
      </c>
      <c r="C271" s="15">
        <f>H270</f>
        <v/>
      </c>
      <c r="D271" s="15">
        <f>IF(C271&gt;0.005,IF(C271+E271-$C$10&lt;1,C271+E271,$C$10),0)</f>
        <v/>
      </c>
      <c r="E271" s="15">
        <f>IF(C271&gt;0.005,C271*$C$5/1200,0)</f>
        <v/>
      </c>
      <c r="F271" s="15">
        <f>IF(C271&gt;0.005,D271-E271,0)</f>
        <v/>
      </c>
      <c r="G271" s="15">
        <f>IF(C271&gt;0.005,MIN($C$8,C271-F271),0)</f>
        <v/>
      </c>
      <c r="H271" s="15">
        <f>IF(C271&gt;0.005,C271-F271-G271,0)</f>
        <v/>
      </c>
      <c r="I271" s="13">
        <f>IF(A271="","",INT((254-1)/12)+1)</f>
        <v/>
      </c>
    </row>
    <row r="272">
      <c r="A272" s="13">
        <f>IF(C272&gt;0.005,255,"")</f>
        <v/>
      </c>
      <c r="B272" s="14">
        <f>IF(A272="","",EDATE($C$7,255-1))</f>
        <v/>
      </c>
      <c r="C272" s="15">
        <f>H271</f>
        <v/>
      </c>
      <c r="D272" s="15">
        <f>IF(C272&gt;0.005,IF(C272+E272-$C$10&lt;1,C272+E272,$C$10),0)</f>
        <v/>
      </c>
      <c r="E272" s="15">
        <f>IF(C272&gt;0.005,C272*$C$5/1200,0)</f>
        <v/>
      </c>
      <c r="F272" s="15">
        <f>IF(C272&gt;0.005,D272-E272,0)</f>
        <v/>
      </c>
      <c r="G272" s="15">
        <f>IF(C272&gt;0.005,MIN($C$8,C272-F272),0)</f>
        <v/>
      </c>
      <c r="H272" s="15">
        <f>IF(C272&gt;0.005,C272-F272-G272,0)</f>
        <v/>
      </c>
      <c r="I272" s="13">
        <f>IF(A272="","",INT((255-1)/12)+1)</f>
        <v/>
      </c>
    </row>
    <row r="273">
      <c r="A273" s="13">
        <f>IF(C273&gt;0.005,256,"")</f>
        <v/>
      </c>
      <c r="B273" s="14">
        <f>IF(A273="","",EDATE($C$7,256-1))</f>
        <v/>
      </c>
      <c r="C273" s="15">
        <f>H272</f>
        <v/>
      </c>
      <c r="D273" s="15">
        <f>IF(C273&gt;0.005,IF(C273+E273-$C$10&lt;1,C273+E273,$C$10),0)</f>
        <v/>
      </c>
      <c r="E273" s="15">
        <f>IF(C273&gt;0.005,C273*$C$5/1200,0)</f>
        <v/>
      </c>
      <c r="F273" s="15">
        <f>IF(C273&gt;0.005,D273-E273,0)</f>
        <v/>
      </c>
      <c r="G273" s="15">
        <f>IF(C273&gt;0.005,MIN($C$8,C273-F273),0)</f>
        <v/>
      </c>
      <c r="H273" s="15">
        <f>IF(C273&gt;0.005,C273-F273-G273,0)</f>
        <v/>
      </c>
      <c r="I273" s="13">
        <f>IF(A273="","",INT((256-1)/12)+1)</f>
        <v/>
      </c>
    </row>
    <row r="274">
      <c r="A274" s="13">
        <f>IF(C274&gt;0.005,257,"")</f>
        <v/>
      </c>
      <c r="B274" s="14">
        <f>IF(A274="","",EDATE($C$7,257-1))</f>
        <v/>
      </c>
      <c r="C274" s="15">
        <f>H273</f>
        <v/>
      </c>
      <c r="D274" s="15">
        <f>IF(C274&gt;0.005,IF(C274+E274-$C$10&lt;1,C274+E274,$C$10),0)</f>
        <v/>
      </c>
      <c r="E274" s="15">
        <f>IF(C274&gt;0.005,C274*$C$5/1200,0)</f>
        <v/>
      </c>
      <c r="F274" s="15">
        <f>IF(C274&gt;0.005,D274-E274,0)</f>
        <v/>
      </c>
      <c r="G274" s="15">
        <f>IF(C274&gt;0.005,MIN($C$8,C274-F274),0)</f>
        <v/>
      </c>
      <c r="H274" s="15">
        <f>IF(C274&gt;0.005,C274-F274-G274,0)</f>
        <v/>
      </c>
      <c r="I274" s="13">
        <f>IF(A274="","",INT((257-1)/12)+1)</f>
        <v/>
      </c>
    </row>
    <row r="275">
      <c r="A275" s="13">
        <f>IF(C275&gt;0.005,258,"")</f>
        <v/>
      </c>
      <c r="B275" s="14">
        <f>IF(A275="","",EDATE($C$7,258-1))</f>
        <v/>
      </c>
      <c r="C275" s="15">
        <f>H274</f>
        <v/>
      </c>
      <c r="D275" s="15">
        <f>IF(C275&gt;0.005,IF(C275+E275-$C$10&lt;1,C275+E275,$C$10),0)</f>
        <v/>
      </c>
      <c r="E275" s="15">
        <f>IF(C275&gt;0.005,C275*$C$5/1200,0)</f>
        <v/>
      </c>
      <c r="F275" s="15">
        <f>IF(C275&gt;0.005,D275-E275,0)</f>
        <v/>
      </c>
      <c r="G275" s="15">
        <f>IF(C275&gt;0.005,MIN($C$8,C275-F275),0)</f>
        <v/>
      </c>
      <c r="H275" s="15">
        <f>IF(C275&gt;0.005,C275-F275-G275,0)</f>
        <v/>
      </c>
      <c r="I275" s="13">
        <f>IF(A275="","",INT((258-1)/12)+1)</f>
        <v/>
      </c>
    </row>
    <row r="276">
      <c r="A276" s="13">
        <f>IF(C276&gt;0.005,259,"")</f>
        <v/>
      </c>
      <c r="B276" s="14">
        <f>IF(A276="","",EDATE($C$7,259-1))</f>
        <v/>
      </c>
      <c r="C276" s="15">
        <f>H275</f>
        <v/>
      </c>
      <c r="D276" s="15">
        <f>IF(C276&gt;0.005,IF(C276+E276-$C$10&lt;1,C276+E276,$C$10),0)</f>
        <v/>
      </c>
      <c r="E276" s="15">
        <f>IF(C276&gt;0.005,C276*$C$5/1200,0)</f>
        <v/>
      </c>
      <c r="F276" s="15">
        <f>IF(C276&gt;0.005,D276-E276,0)</f>
        <v/>
      </c>
      <c r="G276" s="15">
        <f>IF(C276&gt;0.005,MIN($C$8,C276-F276),0)</f>
        <v/>
      </c>
      <c r="H276" s="15">
        <f>IF(C276&gt;0.005,C276-F276-G276,0)</f>
        <v/>
      </c>
      <c r="I276" s="13">
        <f>IF(A276="","",INT((259-1)/12)+1)</f>
        <v/>
      </c>
    </row>
    <row r="277">
      <c r="A277" s="13">
        <f>IF(C277&gt;0.005,260,"")</f>
        <v/>
      </c>
      <c r="B277" s="14">
        <f>IF(A277="","",EDATE($C$7,260-1))</f>
        <v/>
      </c>
      <c r="C277" s="15">
        <f>H276</f>
        <v/>
      </c>
      <c r="D277" s="15">
        <f>IF(C277&gt;0.005,IF(C277+E277-$C$10&lt;1,C277+E277,$C$10),0)</f>
        <v/>
      </c>
      <c r="E277" s="15">
        <f>IF(C277&gt;0.005,C277*$C$5/1200,0)</f>
        <v/>
      </c>
      <c r="F277" s="15">
        <f>IF(C277&gt;0.005,D277-E277,0)</f>
        <v/>
      </c>
      <c r="G277" s="15">
        <f>IF(C277&gt;0.005,MIN($C$8,C277-F277),0)</f>
        <v/>
      </c>
      <c r="H277" s="15">
        <f>IF(C277&gt;0.005,C277-F277-G277,0)</f>
        <v/>
      </c>
      <c r="I277" s="13">
        <f>IF(A277="","",INT((260-1)/12)+1)</f>
        <v/>
      </c>
    </row>
    <row r="278">
      <c r="A278" s="13">
        <f>IF(C278&gt;0.005,261,"")</f>
        <v/>
      </c>
      <c r="B278" s="14">
        <f>IF(A278="","",EDATE($C$7,261-1))</f>
        <v/>
      </c>
      <c r="C278" s="15">
        <f>H277</f>
        <v/>
      </c>
      <c r="D278" s="15">
        <f>IF(C278&gt;0.005,IF(C278+E278-$C$10&lt;1,C278+E278,$C$10),0)</f>
        <v/>
      </c>
      <c r="E278" s="15">
        <f>IF(C278&gt;0.005,C278*$C$5/1200,0)</f>
        <v/>
      </c>
      <c r="F278" s="15">
        <f>IF(C278&gt;0.005,D278-E278,0)</f>
        <v/>
      </c>
      <c r="G278" s="15">
        <f>IF(C278&gt;0.005,MIN($C$8,C278-F278),0)</f>
        <v/>
      </c>
      <c r="H278" s="15">
        <f>IF(C278&gt;0.005,C278-F278-G278,0)</f>
        <v/>
      </c>
      <c r="I278" s="13">
        <f>IF(A278="","",INT((261-1)/12)+1)</f>
        <v/>
      </c>
    </row>
    <row r="279">
      <c r="A279" s="13">
        <f>IF(C279&gt;0.005,262,"")</f>
        <v/>
      </c>
      <c r="B279" s="14">
        <f>IF(A279="","",EDATE($C$7,262-1))</f>
        <v/>
      </c>
      <c r="C279" s="15">
        <f>H278</f>
        <v/>
      </c>
      <c r="D279" s="15">
        <f>IF(C279&gt;0.005,IF(C279+E279-$C$10&lt;1,C279+E279,$C$10),0)</f>
        <v/>
      </c>
      <c r="E279" s="15">
        <f>IF(C279&gt;0.005,C279*$C$5/1200,0)</f>
        <v/>
      </c>
      <c r="F279" s="15">
        <f>IF(C279&gt;0.005,D279-E279,0)</f>
        <v/>
      </c>
      <c r="G279" s="15">
        <f>IF(C279&gt;0.005,MIN($C$8,C279-F279),0)</f>
        <v/>
      </c>
      <c r="H279" s="15">
        <f>IF(C279&gt;0.005,C279-F279-G279,0)</f>
        <v/>
      </c>
      <c r="I279" s="13">
        <f>IF(A279="","",INT((262-1)/12)+1)</f>
        <v/>
      </c>
    </row>
    <row r="280">
      <c r="A280" s="13">
        <f>IF(C280&gt;0.005,263,"")</f>
        <v/>
      </c>
      <c r="B280" s="14">
        <f>IF(A280="","",EDATE($C$7,263-1))</f>
        <v/>
      </c>
      <c r="C280" s="15">
        <f>H279</f>
        <v/>
      </c>
      <c r="D280" s="15">
        <f>IF(C280&gt;0.005,IF(C280+E280-$C$10&lt;1,C280+E280,$C$10),0)</f>
        <v/>
      </c>
      <c r="E280" s="15">
        <f>IF(C280&gt;0.005,C280*$C$5/1200,0)</f>
        <v/>
      </c>
      <c r="F280" s="15">
        <f>IF(C280&gt;0.005,D280-E280,0)</f>
        <v/>
      </c>
      <c r="G280" s="15">
        <f>IF(C280&gt;0.005,MIN($C$8,C280-F280),0)</f>
        <v/>
      </c>
      <c r="H280" s="15">
        <f>IF(C280&gt;0.005,C280-F280-G280,0)</f>
        <v/>
      </c>
      <c r="I280" s="13">
        <f>IF(A280="","",INT((263-1)/12)+1)</f>
        <v/>
      </c>
    </row>
    <row r="281">
      <c r="A281" s="13">
        <f>IF(C281&gt;0.005,264,"")</f>
        <v/>
      </c>
      <c r="B281" s="14">
        <f>IF(A281="","",EDATE($C$7,264-1))</f>
        <v/>
      </c>
      <c r="C281" s="15">
        <f>H280</f>
        <v/>
      </c>
      <c r="D281" s="15">
        <f>IF(C281&gt;0.005,IF(C281+E281-$C$10&lt;1,C281+E281,$C$10),0)</f>
        <v/>
      </c>
      <c r="E281" s="15">
        <f>IF(C281&gt;0.005,C281*$C$5/1200,0)</f>
        <v/>
      </c>
      <c r="F281" s="15">
        <f>IF(C281&gt;0.005,D281-E281,0)</f>
        <v/>
      </c>
      <c r="G281" s="15">
        <f>IF(C281&gt;0.005,MIN($C$8,C281-F281),0)</f>
        <v/>
      </c>
      <c r="H281" s="15">
        <f>IF(C281&gt;0.005,C281-F281-G281,0)</f>
        <v/>
      </c>
      <c r="I281" s="13">
        <f>IF(A281="","",INT((264-1)/12)+1)</f>
        <v/>
      </c>
    </row>
    <row r="282">
      <c r="A282" s="13">
        <f>IF(C282&gt;0.005,265,"")</f>
        <v/>
      </c>
      <c r="B282" s="14">
        <f>IF(A282="","",EDATE($C$7,265-1))</f>
        <v/>
      </c>
      <c r="C282" s="15">
        <f>H281</f>
        <v/>
      </c>
      <c r="D282" s="15">
        <f>IF(C282&gt;0.005,IF(C282+E282-$C$10&lt;1,C282+E282,$C$10),0)</f>
        <v/>
      </c>
      <c r="E282" s="15">
        <f>IF(C282&gt;0.005,C282*$C$5/1200,0)</f>
        <v/>
      </c>
      <c r="F282" s="15">
        <f>IF(C282&gt;0.005,D282-E282,0)</f>
        <v/>
      </c>
      <c r="G282" s="15">
        <f>IF(C282&gt;0.005,MIN($C$8,C282-F282),0)</f>
        <v/>
      </c>
      <c r="H282" s="15">
        <f>IF(C282&gt;0.005,C282-F282-G282,0)</f>
        <v/>
      </c>
      <c r="I282" s="13">
        <f>IF(A282="","",INT((265-1)/12)+1)</f>
        <v/>
      </c>
    </row>
    <row r="283">
      <c r="A283" s="13">
        <f>IF(C283&gt;0.005,266,"")</f>
        <v/>
      </c>
      <c r="B283" s="14">
        <f>IF(A283="","",EDATE($C$7,266-1))</f>
        <v/>
      </c>
      <c r="C283" s="15">
        <f>H282</f>
        <v/>
      </c>
      <c r="D283" s="15">
        <f>IF(C283&gt;0.005,IF(C283+E283-$C$10&lt;1,C283+E283,$C$10),0)</f>
        <v/>
      </c>
      <c r="E283" s="15">
        <f>IF(C283&gt;0.005,C283*$C$5/1200,0)</f>
        <v/>
      </c>
      <c r="F283" s="15">
        <f>IF(C283&gt;0.005,D283-E283,0)</f>
        <v/>
      </c>
      <c r="G283" s="15">
        <f>IF(C283&gt;0.005,MIN($C$8,C283-F283),0)</f>
        <v/>
      </c>
      <c r="H283" s="15">
        <f>IF(C283&gt;0.005,C283-F283-G283,0)</f>
        <v/>
      </c>
      <c r="I283" s="13">
        <f>IF(A283="","",INT((266-1)/12)+1)</f>
        <v/>
      </c>
    </row>
    <row r="284">
      <c r="A284" s="13">
        <f>IF(C284&gt;0.005,267,"")</f>
        <v/>
      </c>
      <c r="B284" s="14">
        <f>IF(A284="","",EDATE($C$7,267-1))</f>
        <v/>
      </c>
      <c r="C284" s="15">
        <f>H283</f>
        <v/>
      </c>
      <c r="D284" s="15">
        <f>IF(C284&gt;0.005,IF(C284+E284-$C$10&lt;1,C284+E284,$C$10),0)</f>
        <v/>
      </c>
      <c r="E284" s="15">
        <f>IF(C284&gt;0.005,C284*$C$5/1200,0)</f>
        <v/>
      </c>
      <c r="F284" s="15">
        <f>IF(C284&gt;0.005,D284-E284,0)</f>
        <v/>
      </c>
      <c r="G284" s="15">
        <f>IF(C284&gt;0.005,MIN($C$8,C284-F284),0)</f>
        <v/>
      </c>
      <c r="H284" s="15">
        <f>IF(C284&gt;0.005,C284-F284-G284,0)</f>
        <v/>
      </c>
      <c r="I284" s="13">
        <f>IF(A284="","",INT((267-1)/12)+1)</f>
        <v/>
      </c>
    </row>
    <row r="285">
      <c r="A285" s="13">
        <f>IF(C285&gt;0.005,268,"")</f>
        <v/>
      </c>
      <c r="B285" s="14">
        <f>IF(A285="","",EDATE($C$7,268-1))</f>
        <v/>
      </c>
      <c r="C285" s="15">
        <f>H284</f>
        <v/>
      </c>
      <c r="D285" s="15">
        <f>IF(C285&gt;0.005,IF(C285+E285-$C$10&lt;1,C285+E285,$C$10),0)</f>
        <v/>
      </c>
      <c r="E285" s="15">
        <f>IF(C285&gt;0.005,C285*$C$5/1200,0)</f>
        <v/>
      </c>
      <c r="F285" s="15">
        <f>IF(C285&gt;0.005,D285-E285,0)</f>
        <v/>
      </c>
      <c r="G285" s="15">
        <f>IF(C285&gt;0.005,MIN($C$8,C285-F285),0)</f>
        <v/>
      </c>
      <c r="H285" s="15">
        <f>IF(C285&gt;0.005,C285-F285-G285,0)</f>
        <v/>
      </c>
      <c r="I285" s="13">
        <f>IF(A285="","",INT((268-1)/12)+1)</f>
        <v/>
      </c>
    </row>
    <row r="286">
      <c r="A286" s="13">
        <f>IF(C286&gt;0.005,269,"")</f>
        <v/>
      </c>
      <c r="B286" s="14">
        <f>IF(A286="","",EDATE($C$7,269-1))</f>
        <v/>
      </c>
      <c r="C286" s="15">
        <f>H285</f>
        <v/>
      </c>
      <c r="D286" s="15">
        <f>IF(C286&gt;0.005,IF(C286+E286-$C$10&lt;1,C286+E286,$C$10),0)</f>
        <v/>
      </c>
      <c r="E286" s="15">
        <f>IF(C286&gt;0.005,C286*$C$5/1200,0)</f>
        <v/>
      </c>
      <c r="F286" s="15">
        <f>IF(C286&gt;0.005,D286-E286,0)</f>
        <v/>
      </c>
      <c r="G286" s="15">
        <f>IF(C286&gt;0.005,MIN($C$8,C286-F286),0)</f>
        <v/>
      </c>
      <c r="H286" s="15">
        <f>IF(C286&gt;0.005,C286-F286-G286,0)</f>
        <v/>
      </c>
      <c r="I286" s="13">
        <f>IF(A286="","",INT((269-1)/12)+1)</f>
        <v/>
      </c>
    </row>
    <row r="287">
      <c r="A287" s="13">
        <f>IF(C287&gt;0.005,270,"")</f>
        <v/>
      </c>
      <c r="B287" s="14">
        <f>IF(A287="","",EDATE($C$7,270-1))</f>
        <v/>
      </c>
      <c r="C287" s="15">
        <f>H286</f>
        <v/>
      </c>
      <c r="D287" s="15">
        <f>IF(C287&gt;0.005,IF(C287+E287-$C$10&lt;1,C287+E287,$C$10),0)</f>
        <v/>
      </c>
      <c r="E287" s="15">
        <f>IF(C287&gt;0.005,C287*$C$5/1200,0)</f>
        <v/>
      </c>
      <c r="F287" s="15">
        <f>IF(C287&gt;0.005,D287-E287,0)</f>
        <v/>
      </c>
      <c r="G287" s="15">
        <f>IF(C287&gt;0.005,MIN($C$8,C287-F287),0)</f>
        <v/>
      </c>
      <c r="H287" s="15">
        <f>IF(C287&gt;0.005,C287-F287-G287,0)</f>
        <v/>
      </c>
      <c r="I287" s="13">
        <f>IF(A287="","",INT((270-1)/12)+1)</f>
        <v/>
      </c>
    </row>
    <row r="288">
      <c r="A288" s="13">
        <f>IF(C288&gt;0.005,271,"")</f>
        <v/>
      </c>
      <c r="B288" s="14">
        <f>IF(A288="","",EDATE($C$7,271-1))</f>
        <v/>
      </c>
      <c r="C288" s="15">
        <f>H287</f>
        <v/>
      </c>
      <c r="D288" s="15">
        <f>IF(C288&gt;0.005,IF(C288+E288-$C$10&lt;1,C288+E288,$C$10),0)</f>
        <v/>
      </c>
      <c r="E288" s="15">
        <f>IF(C288&gt;0.005,C288*$C$5/1200,0)</f>
        <v/>
      </c>
      <c r="F288" s="15">
        <f>IF(C288&gt;0.005,D288-E288,0)</f>
        <v/>
      </c>
      <c r="G288" s="15">
        <f>IF(C288&gt;0.005,MIN($C$8,C288-F288),0)</f>
        <v/>
      </c>
      <c r="H288" s="15">
        <f>IF(C288&gt;0.005,C288-F288-G288,0)</f>
        <v/>
      </c>
      <c r="I288" s="13">
        <f>IF(A288="","",INT((271-1)/12)+1)</f>
        <v/>
      </c>
    </row>
    <row r="289">
      <c r="A289" s="13">
        <f>IF(C289&gt;0.005,272,"")</f>
        <v/>
      </c>
      <c r="B289" s="14">
        <f>IF(A289="","",EDATE($C$7,272-1))</f>
        <v/>
      </c>
      <c r="C289" s="15">
        <f>H288</f>
        <v/>
      </c>
      <c r="D289" s="15">
        <f>IF(C289&gt;0.005,IF(C289+E289-$C$10&lt;1,C289+E289,$C$10),0)</f>
        <v/>
      </c>
      <c r="E289" s="15">
        <f>IF(C289&gt;0.005,C289*$C$5/1200,0)</f>
        <v/>
      </c>
      <c r="F289" s="15">
        <f>IF(C289&gt;0.005,D289-E289,0)</f>
        <v/>
      </c>
      <c r="G289" s="15">
        <f>IF(C289&gt;0.005,MIN($C$8,C289-F289),0)</f>
        <v/>
      </c>
      <c r="H289" s="15">
        <f>IF(C289&gt;0.005,C289-F289-G289,0)</f>
        <v/>
      </c>
      <c r="I289" s="13">
        <f>IF(A289="","",INT((272-1)/12)+1)</f>
        <v/>
      </c>
    </row>
    <row r="290">
      <c r="A290" s="13">
        <f>IF(C290&gt;0.005,273,"")</f>
        <v/>
      </c>
      <c r="B290" s="14">
        <f>IF(A290="","",EDATE($C$7,273-1))</f>
        <v/>
      </c>
      <c r="C290" s="15">
        <f>H289</f>
        <v/>
      </c>
      <c r="D290" s="15">
        <f>IF(C290&gt;0.005,IF(C290+E290-$C$10&lt;1,C290+E290,$C$10),0)</f>
        <v/>
      </c>
      <c r="E290" s="15">
        <f>IF(C290&gt;0.005,C290*$C$5/1200,0)</f>
        <v/>
      </c>
      <c r="F290" s="15">
        <f>IF(C290&gt;0.005,D290-E290,0)</f>
        <v/>
      </c>
      <c r="G290" s="15">
        <f>IF(C290&gt;0.005,MIN($C$8,C290-F290),0)</f>
        <v/>
      </c>
      <c r="H290" s="15">
        <f>IF(C290&gt;0.005,C290-F290-G290,0)</f>
        <v/>
      </c>
      <c r="I290" s="13">
        <f>IF(A290="","",INT((273-1)/12)+1)</f>
        <v/>
      </c>
    </row>
    <row r="291">
      <c r="A291" s="13">
        <f>IF(C291&gt;0.005,274,"")</f>
        <v/>
      </c>
      <c r="B291" s="14">
        <f>IF(A291="","",EDATE($C$7,274-1))</f>
        <v/>
      </c>
      <c r="C291" s="15">
        <f>H290</f>
        <v/>
      </c>
      <c r="D291" s="15">
        <f>IF(C291&gt;0.005,IF(C291+E291-$C$10&lt;1,C291+E291,$C$10),0)</f>
        <v/>
      </c>
      <c r="E291" s="15">
        <f>IF(C291&gt;0.005,C291*$C$5/1200,0)</f>
        <v/>
      </c>
      <c r="F291" s="15">
        <f>IF(C291&gt;0.005,D291-E291,0)</f>
        <v/>
      </c>
      <c r="G291" s="15">
        <f>IF(C291&gt;0.005,MIN($C$8,C291-F291),0)</f>
        <v/>
      </c>
      <c r="H291" s="15">
        <f>IF(C291&gt;0.005,C291-F291-G291,0)</f>
        <v/>
      </c>
      <c r="I291" s="13">
        <f>IF(A291="","",INT((274-1)/12)+1)</f>
        <v/>
      </c>
    </row>
    <row r="292">
      <c r="A292" s="13">
        <f>IF(C292&gt;0.005,275,"")</f>
        <v/>
      </c>
      <c r="B292" s="14">
        <f>IF(A292="","",EDATE($C$7,275-1))</f>
        <v/>
      </c>
      <c r="C292" s="15">
        <f>H291</f>
        <v/>
      </c>
      <c r="D292" s="15">
        <f>IF(C292&gt;0.005,IF(C292+E292-$C$10&lt;1,C292+E292,$C$10),0)</f>
        <v/>
      </c>
      <c r="E292" s="15">
        <f>IF(C292&gt;0.005,C292*$C$5/1200,0)</f>
        <v/>
      </c>
      <c r="F292" s="15">
        <f>IF(C292&gt;0.005,D292-E292,0)</f>
        <v/>
      </c>
      <c r="G292" s="15">
        <f>IF(C292&gt;0.005,MIN($C$8,C292-F292),0)</f>
        <v/>
      </c>
      <c r="H292" s="15">
        <f>IF(C292&gt;0.005,C292-F292-G292,0)</f>
        <v/>
      </c>
      <c r="I292" s="13">
        <f>IF(A292="","",INT((275-1)/12)+1)</f>
        <v/>
      </c>
    </row>
    <row r="293">
      <c r="A293" s="13">
        <f>IF(C293&gt;0.005,276,"")</f>
        <v/>
      </c>
      <c r="B293" s="14">
        <f>IF(A293="","",EDATE($C$7,276-1))</f>
        <v/>
      </c>
      <c r="C293" s="15">
        <f>H292</f>
        <v/>
      </c>
      <c r="D293" s="15">
        <f>IF(C293&gt;0.005,IF(C293+E293-$C$10&lt;1,C293+E293,$C$10),0)</f>
        <v/>
      </c>
      <c r="E293" s="15">
        <f>IF(C293&gt;0.005,C293*$C$5/1200,0)</f>
        <v/>
      </c>
      <c r="F293" s="15">
        <f>IF(C293&gt;0.005,D293-E293,0)</f>
        <v/>
      </c>
      <c r="G293" s="15">
        <f>IF(C293&gt;0.005,MIN($C$8,C293-F293),0)</f>
        <v/>
      </c>
      <c r="H293" s="15">
        <f>IF(C293&gt;0.005,C293-F293-G293,0)</f>
        <v/>
      </c>
      <c r="I293" s="13">
        <f>IF(A293="","",INT((276-1)/12)+1)</f>
        <v/>
      </c>
    </row>
    <row r="294">
      <c r="A294" s="13">
        <f>IF(C294&gt;0.005,277,"")</f>
        <v/>
      </c>
      <c r="B294" s="14">
        <f>IF(A294="","",EDATE($C$7,277-1))</f>
        <v/>
      </c>
      <c r="C294" s="15">
        <f>H293</f>
        <v/>
      </c>
      <c r="D294" s="15">
        <f>IF(C294&gt;0.005,IF(C294+E294-$C$10&lt;1,C294+E294,$C$10),0)</f>
        <v/>
      </c>
      <c r="E294" s="15">
        <f>IF(C294&gt;0.005,C294*$C$5/1200,0)</f>
        <v/>
      </c>
      <c r="F294" s="15">
        <f>IF(C294&gt;0.005,D294-E294,0)</f>
        <v/>
      </c>
      <c r="G294" s="15">
        <f>IF(C294&gt;0.005,MIN($C$8,C294-F294),0)</f>
        <v/>
      </c>
      <c r="H294" s="15">
        <f>IF(C294&gt;0.005,C294-F294-G294,0)</f>
        <v/>
      </c>
      <c r="I294" s="13">
        <f>IF(A294="","",INT((277-1)/12)+1)</f>
        <v/>
      </c>
    </row>
    <row r="295">
      <c r="A295" s="13">
        <f>IF(C295&gt;0.005,278,"")</f>
        <v/>
      </c>
      <c r="B295" s="14">
        <f>IF(A295="","",EDATE($C$7,278-1))</f>
        <v/>
      </c>
      <c r="C295" s="15">
        <f>H294</f>
        <v/>
      </c>
      <c r="D295" s="15">
        <f>IF(C295&gt;0.005,IF(C295+E295-$C$10&lt;1,C295+E295,$C$10),0)</f>
        <v/>
      </c>
      <c r="E295" s="15">
        <f>IF(C295&gt;0.005,C295*$C$5/1200,0)</f>
        <v/>
      </c>
      <c r="F295" s="15">
        <f>IF(C295&gt;0.005,D295-E295,0)</f>
        <v/>
      </c>
      <c r="G295" s="15">
        <f>IF(C295&gt;0.005,MIN($C$8,C295-F295),0)</f>
        <v/>
      </c>
      <c r="H295" s="15">
        <f>IF(C295&gt;0.005,C295-F295-G295,0)</f>
        <v/>
      </c>
      <c r="I295" s="13">
        <f>IF(A295="","",INT((278-1)/12)+1)</f>
        <v/>
      </c>
    </row>
    <row r="296">
      <c r="A296" s="13">
        <f>IF(C296&gt;0.005,279,"")</f>
        <v/>
      </c>
      <c r="B296" s="14">
        <f>IF(A296="","",EDATE($C$7,279-1))</f>
        <v/>
      </c>
      <c r="C296" s="15">
        <f>H295</f>
        <v/>
      </c>
      <c r="D296" s="15">
        <f>IF(C296&gt;0.005,IF(C296+E296-$C$10&lt;1,C296+E296,$C$10),0)</f>
        <v/>
      </c>
      <c r="E296" s="15">
        <f>IF(C296&gt;0.005,C296*$C$5/1200,0)</f>
        <v/>
      </c>
      <c r="F296" s="15">
        <f>IF(C296&gt;0.005,D296-E296,0)</f>
        <v/>
      </c>
      <c r="G296" s="15">
        <f>IF(C296&gt;0.005,MIN($C$8,C296-F296),0)</f>
        <v/>
      </c>
      <c r="H296" s="15">
        <f>IF(C296&gt;0.005,C296-F296-G296,0)</f>
        <v/>
      </c>
      <c r="I296" s="13">
        <f>IF(A296="","",INT((279-1)/12)+1)</f>
        <v/>
      </c>
    </row>
    <row r="297">
      <c r="A297" s="13">
        <f>IF(C297&gt;0.005,280,"")</f>
        <v/>
      </c>
      <c r="B297" s="14">
        <f>IF(A297="","",EDATE($C$7,280-1))</f>
        <v/>
      </c>
      <c r="C297" s="15">
        <f>H296</f>
        <v/>
      </c>
      <c r="D297" s="15">
        <f>IF(C297&gt;0.005,IF(C297+E297-$C$10&lt;1,C297+E297,$C$10),0)</f>
        <v/>
      </c>
      <c r="E297" s="15">
        <f>IF(C297&gt;0.005,C297*$C$5/1200,0)</f>
        <v/>
      </c>
      <c r="F297" s="15">
        <f>IF(C297&gt;0.005,D297-E297,0)</f>
        <v/>
      </c>
      <c r="G297" s="15">
        <f>IF(C297&gt;0.005,MIN($C$8,C297-F297),0)</f>
        <v/>
      </c>
      <c r="H297" s="15">
        <f>IF(C297&gt;0.005,C297-F297-G297,0)</f>
        <v/>
      </c>
      <c r="I297" s="13">
        <f>IF(A297="","",INT((280-1)/12)+1)</f>
        <v/>
      </c>
    </row>
    <row r="298">
      <c r="A298" s="13">
        <f>IF(C298&gt;0.005,281,"")</f>
        <v/>
      </c>
      <c r="B298" s="14">
        <f>IF(A298="","",EDATE($C$7,281-1))</f>
        <v/>
      </c>
      <c r="C298" s="15">
        <f>H297</f>
        <v/>
      </c>
      <c r="D298" s="15">
        <f>IF(C298&gt;0.005,IF(C298+E298-$C$10&lt;1,C298+E298,$C$10),0)</f>
        <v/>
      </c>
      <c r="E298" s="15">
        <f>IF(C298&gt;0.005,C298*$C$5/1200,0)</f>
        <v/>
      </c>
      <c r="F298" s="15">
        <f>IF(C298&gt;0.005,D298-E298,0)</f>
        <v/>
      </c>
      <c r="G298" s="15">
        <f>IF(C298&gt;0.005,MIN($C$8,C298-F298),0)</f>
        <v/>
      </c>
      <c r="H298" s="15">
        <f>IF(C298&gt;0.005,C298-F298-G298,0)</f>
        <v/>
      </c>
      <c r="I298" s="13">
        <f>IF(A298="","",INT((281-1)/12)+1)</f>
        <v/>
      </c>
    </row>
    <row r="299">
      <c r="A299" s="13">
        <f>IF(C299&gt;0.005,282,"")</f>
        <v/>
      </c>
      <c r="B299" s="14">
        <f>IF(A299="","",EDATE($C$7,282-1))</f>
        <v/>
      </c>
      <c r="C299" s="15">
        <f>H298</f>
        <v/>
      </c>
      <c r="D299" s="15">
        <f>IF(C299&gt;0.005,IF(C299+E299-$C$10&lt;1,C299+E299,$C$10),0)</f>
        <v/>
      </c>
      <c r="E299" s="15">
        <f>IF(C299&gt;0.005,C299*$C$5/1200,0)</f>
        <v/>
      </c>
      <c r="F299" s="15">
        <f>IF(C299&gt;0.005,D299-E299,0)</f>
        <v/>
      </c>
      <c r="G299" s="15">
        <f>IF(C299&gt;0.005,MIN($C$8,C299-F299),0)</f>
        <v/>
      </c>
      <c r="H299" s="15">
        <f>IF(C299&gt;0.005,C299-F299-G299,0)</f>
        <v/>
      </c>
      <c r="I299" s="13">
        <f>IF(A299="","",INT((282-1)/12)+1)</f>
        <v/>
      </c>
    </row>
    <row r="300">
      <c r="A300" s="13">
        <f>IF(C300&gt;0.005,283,"")</f>
        <v/>
      </c>
      <c r="B300" s="14">
        <f>IF(A300="","",EDATE($C$7,283-1))</f>
        <v/>
      </c>
      <c r="C300" s="15">
        <f>H299</f>
        <v/>
      </c>
      <c r="D300" s="15">
        <f>IF(C300&gt;0.005,IF(C300+E300-$C$10&lt;1,C300+E300,$C$10),0)</f>
        <v/>
      </c>
      <c r="E300" s="15">
        <f>IF(C300&gt;0.005,C300*$C$5/1200,0)</f>
        <v/>
      </c>
      <c r="F300" s="15">
        <f>IF(C300&gt;0.005,D300-E300,0)</f>
        <v/>
      </c>
      <c r="G300" s="15">
        <f>IF(C300&gt;0.005,MIN($C$8,C300-F300),0)</f>
        <v/>
      </c>
      <c r="H300" s="15">
        <f>IF(C300&gt;0.005,C300-F300-G300,0)</f>
        <v/>
      </c>
      <c r="I300" s="13">
        <f>IF(A300="","",INT((283-1)/12)+1)</f>
        <v/>
      </c>
    </row>
    <row r="301">
      <c r="A301" s="13">
        <f>IF(C301&gt;0.005,284,"")</f>
        <v/>
      </c>
      <c r="B301" s="14">
        <f>IF(A301="","",EDATE($C$7,284-1))</f>
        <v/>
      </c>
      <c r="C301" s="15">
        <f>H300</f>
        <v/>
      </c>
      <c r="D301" s="15">
        <f>IF(C301&gt;0.005,IF(C301+E301-$C$10&lt;1,C301+E301,$C$10),0)</f>
        <v/>
      </c>
      <c r="E301" s="15">
        <f>IF(C301&gt;0.005,C301*$C$5/1200,0)</f>
        <v/>
      </c>
      <c r="F301" s="15">
        <f>IF(C301&gt;0.005,D301-E301,0)</f>
        <v/>
      </c>
      <c r="G301" s="15">
        <f>IF(C301&gt;0.005,MIN($C$8,C301-F301),0)</f>
        <v/>
      </c>
      <c r="H301" s="15">
        <f>IF(C301&gt;0.005,C301-F301-G301,0)</f>
        <v/>
      </c>
      <c r="I301" s="13">
        <f>IF(A301="","",INT((284-1)/12)+1)</f>
        <v/>
      </c>
    </row>
    <row r="302">
      <c r="A302" s="13">
        <f>IF(C302&gt;0.005,285,"")</f>
        <v/>
      </c>
      <c r="B302" s="14">
        <f>IF(A302="","",EDATE($C$7,285-1))</f>
        <v/>
      </c>
      <c r="C302" s="15">
        <f>H301</f>
        <v/>
      </c>
      <c r="D302" s="15">
        <f>IF(C302&gt;0.005,IF(C302+E302-$C$10&lt;1,C302+E302,$C$10),0)</f>
        <v/>
      </c>
      <c r="E302" s="15">
        <f>IF(C302&gt;0.005,C302*$C$5/1200,0)</f>
        <v/>
      </c>
      <c r="F302" s="15">
        <f>IF(C302&gt;0.005,D302-E302,0)</f>
        <v/>
      </c>
      <c r="G302" s="15">
        <f>IF(C302&gt;0.005,MIN($C$8,C302-F302),0)</f>
        <v/>
      </c>
      <c r="H302" s="15">
        <f>IF(C302&gt;0.005,C302-F302-G302,0)</f>
        <v/>
      </c>
      <c r="I302" s="13">
        <f>IF(A302="","",INT((285-1)/12)+1)</f>
        <v/>
      </c>
    </row>
    <row r="303">
      <c r="A303" s="13">
        <f>IF(C303&gt;0.005,286,"")</f>
        <v/>
      </c>
      <c r="B303" s="14">
        <f>IF(A303="","",EDATE($C$7,286-1))</f>
        <v/>
      </c>
      <c r="C303" s="15">
        <f>H302</f>
        <v/>
      </c>
      <c r="D303" s="15">
        <f>IF(C303&gt;0.005,IF(C303+E303-$C$10&lt;1,C303+E303,$C$10),0)</f>
        <v/>
      </c>
      <c r="E303" s="15">
        <f>IF(C303&gt;0.005,C303*$C$5/1200,0)</f>
        <v/>
      </c>
      <c r="F303" s="15">
        <f>IF(C303&gt;0.005,D303-E303,0)</f>
        <v/>
      </c>
      <c r="G303" s="15">
        <f>IF(C303&gt;0.005,MIN($C$8,C303-F303),0)</f>
        <v/>
      </c>
      <c r="H303" s="15">
        <f>IF(C303&gt;0.005,C303-F303-G303,0)</f>
        <v/>
      </c>
      <c r="I303" s="13">
        <f>IF(A303="","",INT((286-1)/12)+1)</f>
        <v/>
      </c>
    </row>
    <row r="304">
      <c r="A304" s="13">
        <f>IF(C304&gt;0.005,287,"")</f>
        <v/>
      </c>
      <c r="B304" s="14">
        <f>IF(A304="","",EDATE($C$7,287-1))</f>
        <v/>
      </c>
      <c r="C304" s="15">
        <f>H303</f>
        <v/>
      </c>
      <c r="D304" s="15">
        <f>IF(C304&gt;0.005,IF(C304+E304-$C$10&lt;1,C304+E304,$C$10),0)</f>
        <v/>
      </c>
      <c r="E304" s="15">
        <f>IF(C304&gt;0.005,C304*$C$5/1200,0)</f>
        <v/>
      </c>
      <c r="F304" s="15">
        <f>IF(C304&gt;0.005,D304-E304,0)</f>
        <v/>
      </c>
      <c r="G304" s="15">
        <f>IF(C304&gt;0.005,MIN($C$8,C304-F304),0)</f>
        <v/>
      </c>
      <c r="H304" s="15">
        <f>IF(C304&gt;0.005,C304-F304-G304,0)</f>
        <v/>
      </c>
      <c r="I304" s="13">
        <f>IF(A304="","",INT((287-1)/12)+1)</f>
        <v/>
      </c>
    </row>
    <row r="305">
      <c r="A305" s="13">
        <f>IF(C305&gt;0.005,288,"")</f>
        <v/>
      </c>
      <c r="B305" s="14">
        <f>IF(A305="","",EDATE($C$7,288-1))</f>
        <v/>
      </c>
      <c r="C305" s="15">
        <f>H304</f>
        <v/>
      </c>
      <c r="D305" s="15">
        <f>IF(C305&gt;0.005,IF(C305+E305-$C$10&lt;1,C305+E305,$C$10),0)</f>
        <v/>
      </c>
      <c r="E305" s="15">
        <f>IF(C305&gt;0.005,C305*$C$5/1200,0)</f>
        <v/>
      </c>
      <c r="F305" s="15">
        <f>IF(C305&gt;0.005,D305-E305,0)</f>
        <v/>
      </c>
      <c r="G305" s="15">
        <f>IF(C305&gt;0.005,MIN($C$8,C305-F305),0)</f>
        <v/>
      </c>
      <c r="H305" s="15">
        <f>IF(C305&gt;0.005,C305-F305-G305,0)</f>
        <v/>
      </c>
      <c r="I305" s="13">
        <f>IF(A305="","",INT((288-1)/12)+1)</f>
        <v/>
      </c>
    </row>
    <row r="306">
      <c r="A306" s="13">
        <f>IF(C306&gt;0.005,289,"")</f>
        <v/>
      </c>
      <c r="B306" s="14">
        <f>IF(A306="","",EDATE($C$7,289-1))</f>
        <v/>
      </c>
      <c r="C306" s="15">
        <f>H305</f>
        <v/>
      </c>
      <c r="D306" s="15">
        <f>IF(C306&gt;0.005,IF(C306+E306-$C$10&lt;1,C306+E306,$C$10),0)</f>
        <v/>
      </c>
      <c r="E306" s="15">
        <f>IF(C306&gt;0.005,C306*$C$5/1200,0)</f>
        <v/>
      </c>
      <c r="F306" s="15">
        <f>IF(C306&gt;0.005,D306-E306,0)</f>
        <v/>
      </c>
      <c r="G306" s="15">
        <f>IF(C306&gt;0.005,MIN($C$8,C306-F306),0)</f>
        <v/>
      </c>
      <c r="H306" s="15">
        <f>IF(C306&gt;0.005,C306-F306-G306,0)</f>
        <v/>
      </c>
      <c r="I306" s="13">
        <f>IF(A306="","",INT((289-1)/12)+1)</f>
        <v/>
      </c>
    </row>
    <row r="307">
      <c r="A307" s="13">
        <f>IF(C307&gt;0.005,290,"")</f>
        <v/>
      </c>
      <c r="B307" s="14">
        <f>IF(A307="","",EDATE($C$7,290-1))</f>
        <v/>
      </c>
      <c r="C307" s="15">
        <f>H306</f>
        <v/>
      </c>
      <c r="D307" s="15">
        <f>IF(C307&gt;0.005,IF(C307+E307-$C$10&lt;1,C307+E307,$C$10),0)</f>
        <v/>
      </c>
      <c r="E307" s="15">
        <f>IF(C307&gt;0.005,C307*$C$5/1200,0)</f>
        <v/>
      </c>
      <c r="F307" s="15">
        <f>IF(C307&gt;0.005,D307-E307,0)</f>
        <v/>
      </c>
      <c r="G307" s="15">
        <f>IF(C307&gt;0.005,MIN($C$8,C307-F307),0)</f>
        <v/>
      </c>
      <c r="H307" s="15">
        <f>IF(C307&gt;0.005,C307-F307-G307,0)</f>
        <v/>
      </c>
      <c r="I307" s="13">
        <f>IF(A307="","",INT((290-1)/12)+1)</f>
        <v/>
      </c>
    </row>
    <row r="308">
      <c r="A308" s="13">
        <f>IF(C308&gt;0.005,291,"")</f>
        <v/>
      </c>
      <c r="B308" s="14">
        <f>IF(A308="","",EDATE($C$7,291-1))</f>
        <v/>
      </c>
      <c r="C308" s="15">
        <f>H307</f>
        <v/>
      </c>
      <c r="D308" s="15">
        <f>IF(C308&gt;0.005,IF(C308+E308-$C$10&lt;1,C308+E308,$C$10),0)</f>
        <v/>
      </c>
      <c r="E308" s="15">
        <f>IF(C308&gt;0.005,C308*$C$5/1200,0)</f>
        <v/>
      </c>
      <c r="F308" s="15">
        <f>IF(C308&gt;0.005,D308-E308,0)</f>
        <v/>
      </c>
      <c r="G308" s="15">
        <f>IF(C308&gt;0.005,MIN($C$8,C308-F308),0)</f>
        <v/>
      </c>
      <c r="H308" s="15">
        <f>IF(C308&gt;0.005,C308-F308-G308,0)</f>
        <v/>
      </c>
      <c r="I308" s="13">
        <f>IF(A308="","",INT((291-1)/12)+1)</f>
        <v/>
      </c>
    </row>
    <row r="309">
      <c r="A309" s="13">
        <f>IF(C309&gt;0.005,292,"")</f>
        <v/>
      </c>
      <c r="B309" s="14">
        <f>IF(A309="","",EDATE($C$7,292-1))</f>
        <v/>
      </c>
      <c r="C309" s="15">
        <f>H308</f>
        <v/>
      </c>
      <c r="D309" s="15">
        <f>IF(C309&gt;0.005,IF(C309+E309-$C$10&lt;1,C309+E309,$C$10),0)</f>
        <v/>
      </c>
      <c r="E309" s="15">
        <f>IF(C309&gt;0.005,C309*$C$5/1200,0)</f>
        <v/>
      </c>
      <c r="F309" s="15">
        <f>IF(C309&gt;0.005,D309-E309,0)</f>
        <v/>
      </c>
      <c r="G309" s="15">
        <f>IF(C309&gt;0.005,MIN($C$8,C309-F309),0)</f>
        <v/>
      </c>
      <c r="H309" s="15">
        <f>IF(C309&gt;0.005,C309-F309-G309,0)</f>
        <v/>
      </c>
      <c r="I309" s="13">
        <f>IF(A309="","",INT((292-1)/12)+1)</f>
        <v/>
      </c>
    </row>
    <row r="310">
      <c r="A310" s="13">
        <f>IF(C310&gt;0.005,293,"")</f>
        <v/>
      </c>
      <c r="B310" s="14">
        <f>IF(A310="","",EDATE($C$7,293-1))</f>
        <v/>
      </c>
      <c r="C310" s="15">
        <f>H309</f>
        <v/>
      </c>
      <c r="D310" s="15">
        <f>IF(C310&gt;0.005,IF(C310+E310-$C$10&lt;1,C310+E310,$C$10),0)</f>
        <v/>
      </c>
      <c r="E310" s="15">
        <f>IF(C310&gt;0.005,C310*$C$5/1200,0)</f>
        <v/>
      </c>
      <c r="F310" s="15">
        <f>IF(C310&gt;0.005,D310-E310,0)</f>
        <v/>
      </c>
      <c r="G310" s="15">
        <f>IF(C310&gt;0.005,MIN($C$8,C310-F310),0)</f>
        <v/>
      </c>
      <c r="H310" s="15">
        <f>IF(C310&gt;0.005,C310-F310-G310,0)</f>
        <v/>
      </c>
      <c r="I310" s="13">
        <f>IF(A310="","",INT((293-1)/12)+1)</f>
        <v/>
      </c>
    </row>
    <row r="311">
      <c r="A311" s="13">
        <f>IF(C311&gt;0.005,294,"")</f>
        <v/>
      </c>
      <c r="B311" s="14">
        <f>IF(A311="","",EDATE($C$7,294-1))</f>
        <v/>
      </c>
      <c r="C311" s="15">
        <f>H310</f>
        <v/>
      </c>
      <c r="D311" s="15">
        <f>IF(C311&gt;0.005,IF(C311+E311-$C$10&lt;1,C311+E311,$C$10),0)</f>
        <v/>
      </c>
      <c r="E311" s="15">
        <f>IF(C311&gt;0.005,C311*$C$5/1200,0)</f>
        <v/>
      </c>
      <c r="F311" s="15">
        <f>IF(C311&gt;0.005,D311-E311,0)</f>
        <v/>
      </c>
      <c r="G311" s="15">
        <f>IF(C311&gt;0.005,MIN($C$8,C311-F311),0)</f>
        <v/>
      </c>
      <c r="H311" s="15">
        <f>IF(C311&gt;0.005,C311-F311-G311,0)</f>
        <v/>
      </c>
      <c r="I311" s="13">
        <f>IF(A311="","",INT((294-1)/12)+1)</f>
        <v/>
      </c>
    </row>
    <row r="312">
      <c r="A312" s="13">
        <f>IF(C312&gt;0.005,295,"")</f>
        <v/>
      </c>
      <c r="B312" s="14">
        <f>IF(A312="","",EDATE($C$7,295-1))</f>
        <v/>
      </c>
      <c r="C312" s="15">
        <f>H311</f>
        <v/>
      </c>
      <c r="D312" s="15">
        <f>IF(C312&gt;0.005,IF(C312+E312-$C$10&lt;1,C312+E312,$C$10),0)</f>
        <v/>
      </c>
      <c r="E312" s="15">
        <f>IF(C312&gt;0.005,C312*$C$5/1200,0)</f>
        <v/>
      </c>
      <c r="F312" s="15">
        <f>IF(C312&gt;0.005,D312-E312,0)</f>
        <v/>
      </c>
      <c r="G312" s="15">
        <f>IF(C312&gt;0.005,MIN($C$8,C312-F312),0)</f>
        <v/>
      </c>
      <c r="H312" s="15">
        <f>IF(C312&gt;0.005,C312-F312-G312,0)</f>
        <v/>
      </c>
      <c r="I312" s="13">
        <f>IF(A312="","",INT((295-1)/12)+1)</f>
        <v/>
      </c>
    </row>
    <row r="313">
      <c r="A313" s="13">
        <f>IF(C313&gt;0.005,296,"")</f>
        <v/>
      </c>
      <c r="B313" s="14">
        <f>IF(A313="","",EDATE($C$7,296-1))</f>
        <v/>
      </c>
      <c r="C313" s="15">
        <f>H312</f>
        <v/>
      </c>
      <c r="D313" s="15">
        <f>IF(C313&gt;0.005,IF(C313+E313-$C$10&lt;1,C313+E313,$C$10),0)</f>
        <v/>
      </c>
      <c r="E313" s="15">
        <f>IF(C313&gt;0.005,C313*$C$5/1200,0)</f>
        <v/>
      </c>
      <c r="F313" s="15">
        <f>IF(C313&gt;0.005,D313-E313,0)</f>
        <v/>
      </c>
      <c r="G313" s="15">
        <f>IF(C313&gt;0.005,MIN($C$8,C313-F313),0)</f>
        <v/>
      </c>
      <c r="H313" s="15">
        <f>IF(C313&gt;0.005,C313-F313-G313,0)</f>
        <v/>
      </c>
      <c r="I313" s="13">
        <f>IF(A313="","",INT((296-1)/12)+1)</f>
        <v/>
      </c>
    </row>
    <row r="314">
      <c r="A314" s="13">
        <f>IF(C314&gt;0.005,297,"")</f>
        <v/>
      </c>
      <c r="B314" s="14">
        <f>IF(A314="","",EDATE($C$7,297-1))</f>
        <v/>
      </c>
      <c r="C314" s="15">
        <f>H313</f>
        <v/>
      </c>
      <c r="D314" s="15">
        <f>IF(C314&gt;0.005,IF(C314+E314-$C$10&lt;1,C314+E314,$C$10),0)</f>
        <v/>
      </c>
      <c r="E314" s="15">
        <f>IF(C314&gt;0.005,C314*$C$5/1200,0)</f>
        <v/>
      </c>
      <c r="F314" s="15">
        <f>IF(C314&gt;0.005,D314-E314,0)</f>
        <v/>
      </c>
      <c r="G314" s="15">
        <f>IF(C314&gt;0.005,MIN($C$8,C314-F314),0)</f>
        <v/>
      </c>
      <c r="H314" s="15">
        <f>IF(C314&gt;0.005,C314-F314-G314,0)</f>
        <v/>
      </c>
      <c r="I314" s="13">
        <f>IF(A314="","",INT((297-1)/12)+1)</f>
        <v/>
      </c>
    </row>
    <row r="315">
      <c r="A315" s="13">
        <f>IF(C315&gt;0.005,298,"")</f>
        <v/>
      </c>
      <c r="B315" s="14">
        <f>IF(A315="","",EDATE($C$7,298-1))</f>
        <v/>
      </c>
      <c r="C315" s="15">
        <f>H314</f>
        <v/>
      </c>
      <c r="D315" s="15">
        <f>IF(C315&gt;0.005,IF(C315+E315-$C$10&lt;1,C315+E315,$C$10),0)</f>
        <v/>
      </c>
      <c r="E315" s="15">
        <f>IF(C315&gt;0.005,C315*$C$5/1200,0)</f>
        <v/>
      </c>
      <c r="F315" s="15">
        <f>IF(C315&gt;0.005,D315-E315,0)</f>
        <v/>
      </c>
      <c r="G315" s="15">
        <f>IF(C315&gt;0.005,MIN($C$8,C315-F315),0)</f>
        <v/>
      </c>
      <c r="H315" s="15">
        <f>IF(C315&gt;0.005,C315-F315-G315,0)</f>
        <v/>
      </c>
      <c r="I315" s="13">
        <f>IF(A315="","",INT((298-1)/12)+1)</f>
        <v/>
      </c>
    </row>
    <row r="316">
      <c r="A316" s="13">
        <f>IF(C316&gt;0.005,299,"")</f>
        <v/>
      </c>
      <c r="B316" s="14">
        <f>IF(A316="","",EDATE($C$7,299-1))</f>
        <v/>
      </c>
      <c r="C316" s="15">
        <f>H315</f>
        <v/>
      </c>
      <c r="D316" s="15">
        <f>IF(C316&gt;0.005,IF(C316+E316-$C$10&lt;1,C316+E316,$C$10),0)</f>
        <v/>
      </c>
      <c r="E316" s="15">
        <f>IF(C316&gt;0.005,C316*$C$5/1200,0)</f>
        <v/>
      </c>
      <c r="F316" s="15">
        <f>IF(C316&gt;0.005,D316-E316,0)</f>
        <v/>
      </c>
      <c r="G316" s="15">
        <f>IF(C316&gt;0.005,MIN($C$8,C316-F316),0)</f>
        <v/>
      </c>
      <c r="H316" s="15">
        <f>IF(C316&gt;0.005,C316-F316-G316,0)</f>
        <v/>
      </c>
      <c r="I316" s="13">
        <f>IF(A316="","",INT((299-1)/12)+1)</f>
        <v/>
      </c>
    </row>
    <row r="317">
      <c r="A317" s="13">
        <f>IF(C317&gt;0.005,300,"")</f>
        <v/>
      </c>
      <c r="B317" s="14">
        <f>IF(A317="","",EDATE($C$7,300-1))</f>
        <v/>
      </c>
      <c r="C317" s="15">
        <f>H316</f>
        <v/>
      </c>
      <c r="D317" s="15">
        <f>IF(C317&gt;0.005,IF(C317+E317-$C$10&lt;1,C317+E317,$C$10),0)</f>
        <v/>
      </c>
      <c r="E317" s="15">
        <f>IF(C317&gt;0.005,C317*$C$5/1200,0)</f>
        <v/>
      </c>
      <c r="F317" s="15">
        <f>IF(C317&gt;0.005,D317-E317,0)</f>
        <v/>
      </c>
      <c r="G317" s="15">
        <f>IF(C317&gt;0.005,MIN($C$8,C317-F317),0)</f>
        <v/>
      </c>
      <c r="H317" s="15">
        <f>IF(C317&gt;0.005,C317-F317-G317,0)</f>
        <v/>
      </c>
      <c r="I317" s="13">
        <f>IF(A317="","",INT((300-1)/12)+1)</f>
        <v/>
      </c>
    </row>
    <row r="318">
      <c r="A318" s="13">
        <f>IF(C318&gt;0.005,301,"")</f>
        <v/>
      </c>
      <c r="B318" s="14">
        <f>IF(A318="","",EDATE($C$7,301-1))</f>
        <v/>
      </c>
      <c r="C318" s="15">
        <f>H317</f>
        <v/>
      </c>
      <c r="D318" s="15">
        <f>IF(C318&gt;0.005,IF(C318+E318-$C$10&lt;1,C318+E318,$C$10),0)</f>
        <v/>
      </c>
      <c r="E318" s="15">
        <f>IF(C318&gt;0.005,C318*$C$5/1200,0)</f>
        <v/>
      </c>
      <c r="F318" s="15">
        <f>IF(C318&gt;0.005,D318-E318,0)</f>
        <v/>
      </c>
      <c r="G318" s="15">
        <f>IF(C318&gt;0.005,MIN($C$8,C318-F318),0)</f>
        <v/>
      </c>
      <c r="H318" s="15">
        <f>IF(C318&gt;0.005,C318-F318-G318,0)</f>
        <v/>
      </c>
      <c r="I318" s="13">
        <f>IF(A318="","",INT((301-1)/12)+1)</f>
        <v/>
      </c>
    </row>
    <row r="319">
      <c r="A319" s="13">
        <f>IF(C319&gt;0.005,302,"")</f>
        <v/>
      </c>
      <c r="B319" s="14">
        <f>IF(A319="","",EDATE($C$7,302-1))</f>
        <v/>
      </c>
      <c r="C319" s="15">
        <f>H318</f>
        <v/>
      </c>
      <c r="D319" s="15">
        <f>IF(C319&gt;0.005,IF(C319+E319-$C$10&lt;1,C319+E319,$C$10),0)</f>
        <v/>
      </c>
      <c r="E319" s="15">
        <f>IF(C319&gt;0.005,C319*$C$5/1200,0)</f>
        <v/>
      </c>
      <c r="F319" s="15">
        <f>IF(C319&gt;0.005,D319-E319,0)</f>
        <v/>
      </c>
      <c r="G319" s="15">
        <f>IF(C319&gt;0.005,MIN($C$8,C319-F319),0)</f>
        <v/>
      </c>
      <c r="H319" s="15">
        <f>IF(C319&gt;0.005,C319-F319-G319,0)</f>
        <v/>
      </c>
      <c r="I319" s="13">
        <f>IF(A319="","",INT((302-1)/12)+1)</f>
        <v/>
      </c>
    </row>
    <row r="320">
      <c r="A320" s="13">
        <f>IF(C320&gt;0.005,303,"")</f>
        <v/>
      </c>
      <c r="B320" s="14">
        <f>IF(A320="","",EDATE($C$7,303-1))</f>
        <v/>
      </c>
      <c r="C320" s="15">
        <f>H319</f>
        <v/>
      </c>
      <c r="D320" s="15">
        <f>IF(C320&gt;0.005,IF(C320+E320-$C$10&lt;1,C320+E320,$C$10),0)</f>
        <v/>
      </c>
      <c r="E320" s="15">
        <f>IF(C320&gt;0.005,C320*$C$5/1200,0)</f>
        <v/>
      </c>
      <c r="F320" s="15">
        <f>IF(C320&gt;0.005,D320-E320,0)</f>
        <v/>
      </c>
      <c r="G320" s="15">
        <f>IF(C320&gt;0.005,MIN($C$8,C320-F320),0)</f>
        <v/>
      </c>
      <c r="H320" s="15">
        <f>IF(C320&gt;0.005,C320-F320-G320,0)</f>
        <v/>
      </c>
      <c r="I320" s="13">
        <f>IF(A320="","",INT((303-1)/12)+1)</f>
        <v/>
      </c>
    </row>
    <row r="321">
      <c r="A321" s="13">
        <f>IF(C321&gt;0.005,304,"")</f>
        <v/>
      </c>
      <c r="B321" s="14">
        <f>IF(A321="","",EDATE($C$7,304-1))</f>
        <v/>
      </c>
      <c r="C321" s="15">
        <f>H320</f>
        <v/>
      </c>
      <c r="D321" s="15">
        <f>IF(C321&gt;0.005,IF(C321+E321-$C$10&lt;1,C321+E321,$C$10),0)</f>
        <v/>
      </c>
      <c r="E321" s="15">
        <f>IF(C321&gt;0.005,C321*$C$5/1200,0)</f>
        <v/>
      </c>
      <c r="F321" s="15">
        <f>IF(C321&gt;0.005,D321-E321,0)</f>
        <v/>
      </c>
      <c r="G321" s="15">
        <f>IF(C321&gt;0.005,MIN($C$8,C321-F321),0)</f>
        <v/>
      </c>
      <c r="H321" s="15">
        <f>IF(C321&gt;0.005,C321-F321-G321,0)</f>
        <v/>
      </c>
      <c r="I321" s="13">
        <f>IF(A321="","",INT((304-1)/12)+1)</f>
        <v/>
      </c>
    </row>
    <row r="322">
      <c r="A322" s="13">
        <f>IF(C322&gt;0.005,305,"")</f>
        <v/>
      </c>
      <c r="B322" s="14">
        <f>IF(A322="","",EDATE($C$7,305-1))</f>
        <v/>
      </c>
      <c r="C322" s="15">
        <f>H321</f>
        <v/>
      </c>
      <c r="D322" s="15">
        <f>IF(C322&gt;0.005,IF(C322+E322-$C$10&lt;1,C322+E322,$C$10),0)</f>
        <v/>
      </c>
      <c r="E322" s="15">
        <f>IF(C322&gt;0.005,C322*$C$5/1200,0)</f>
        <v/>
      </c>
      <c r="F322" s="15">
        <f>IF(C322&gt;0.005,D322-E322,0)</f>
        <v/>
      </c>
      <c r="G322" s="15">
        <f>IF(C322&gt;0.005,MIN($C$8,C322-F322),0)</f>
        <v/>
      </c>
      <c r="H322" s="15">
        <f>IF(C322&gt;0.005,C322-F322-G322,0)</f>
        <v/>
      </c>
      <c r="I322" s="13">
        <f>IF(A322="","",INT((305-1)/12)+1)</f>
        <v/>
      </c>
    </row>
    <row r="323">
      <c r="A323" s="13">
        <f>IF(C323&gt;0.005,306,"")</f>
        <v/>
      </c>
      <c r="B323" s="14">
        <f>IF(A323="","",EDATE($C$7,306-1))</f>
        <v/>
      </c>
      <c r="C323" s="15">
        <f>H322</f>
        <v/>
      </c>
      <c r="D323" s="15">
        <f>IF(C323&gt;0.005,IF(C323+E323-$C$10&lt;1,C323+E323,$C$10),0)</f>
        <v/>
      </c>
      <c r="E323" s="15">
        <f>IF(C323&gt;0.005,C323*$C$5/1200,0)</f>
        <v/>
      </c>
      <c r="F323" s="15">
        <f>IF(C323&gt;0.005,D323-E323,0)</f>
        <v/>
      </c>
      <c r="G323" s="15">
        <f>IF(C323&gt;0.005,MIN($C$8,C323-F323),0)</f>
        <v/>
      </c>
      <c r="H323" s="15">
        <f>IF(C323&gt;0.005,C323-F323-G323,0)</f>
        <v/>
      </c>
      <c r="I323" s="13">
        <f>IF(A323="","",INT((306-1)/12)+1)</f>
        <v/>
      </c>
    </row>
    <row r="324">
      <c r="A324" s="13">
        <f>IF(C324&gt;0.005,307,"")</f>
        <v/>
      </c>
      <c r="B324" s="14">
        <f>IF(A324="","",EDATE($C$7,307-1))</f>
        <v/>
      </c>
      <c r="C324" s="15">
        <f>H323</f>
        <v/>
      </c>
      <c r="D324" s="15">
        <f>IF(C324&gt;0.005,IF(C324+E324-$C$10&lt;1,C324+E324,$C$10),0)</f>
        <v/>
      </c>
      <c r="E324" s="15">
        <f>IF(C324&gt;0.005,C324*$C$5/1200,0)</f>
        <v/>
      </c>
      <c r="F324" s="15">
        <f>IF(C324&gt;0.005,D324-E324,0)</f>
        <v/>
      </c>
      <c r="G324" s="15">
        <f>IF(C324&gt;0.005,MIN($C$8,C324-F324),0)</f>
        <v/>
      </c>
      <c r="H324" s="15">
        <f>IF(C324&gt;0.005,C324-F324-G324,0)</f>
        <v/>
      </c>
      <c r="I324" s="13">
        <f>IF(A324="","",INT((307-1)/12)+1)</f>
        <v/>
      </c>
    </row>
    <row r="325">
      <c r="A325" s="13">
        <f>IF(C325&gt;0.005,308,"")</f>
        <v/>
      </c>
      <c r="B325" s="14">
        <f>IF(A325="","",EDATE($C$7,308-1))</f>
        <v/>
      </c>
      <c r="C325" s="15">
        <f>H324</f>
        <v/>
      </c>
      <c r="D325" s="15">
        <f>IF(C325&gt;0.005,IF(C325+E325-$C$10&lt;1,C325+E325,$C$10),0)</f>
        <v/>
      </c>
      <c r="E325" s="15">
        <f>IF(C325&gt;0.005,C325*$C$5/1200,0)</f>
        <v/>
      </c>
      <c r="F325" s="15">
        <f>IF(C325&gt;0.005,D325-E325,0)</f>
        <v/>
      </c>
      <c r="G325" s="15">
        <f>IF(C325&gt;0.005,MIN($C$8,C325-F325),0)</f>
        <v/>
      </c>
      <c r="H325" s="15">
        <f>IF(C325&gt;0.005,C325-F325-G325,0)</f>
        <v/>
      </c>
      <c r="I325" s="13">
        <f>IF(A325="","",INT((308-1)/12)+1)</f>
        <v/>
      </c>
    </row>
    <row r="326">
      <c r="A326" s="13">
        <f>IF(C326&gt;0.005,309,"")</f>
        <v/>
      </c>
      <c r="B326" s="14">
        <f>IF(A326="","",EDATE($C$7,309-1))</f>
        <v/>
      </c>
      <c r="C326" s="15">
        <f>H325</f>
        <v/>
      </c>
      <c r="D326" s="15">
        <f>IF(C326&gt;0.005,IF(C326+E326-$C$10&lt;1,C326+E326,$C$10),0)</f>
        <v/>
      </c>
      <c r="E326" s="15">
        <f>IF(C326&gt;0.005,C326*$C$5/1200,0)</f>
        <v/>
      </c>
      <c r="F326" s="15">
        <f>IF(C326&gt;0.005,D326-E326,0)</f>
        <v/>
      </c>
      <c r="G326" s="15">
        <f>IF(C326&gt;0.005,MIN($C$8,C326-F326),0)</f>
        <v/>
      </c>
      <c r="H326" s="15">
        <f>IF(C326&gt;0.005,C326-F326-G326,0)</f>
        <v/>
      </c>
      <c r="I326" s="13">
        <f>IF(A326="","",INT((309-1)/12)+1)</f>
        <v/>
      </c>
    </row>
    <row r="327">
      <c r="A327" s="13">
        <f>IF(C327&gt;0.005,310,"")</f>
        <v/>
      </c>
      <c r="B327" s="14">
        <f>IF(A327="","",EDATE($C$7,310-1))</f>
        <v/>
      </c>
      <c r="C327" s="15">
        <f>H326</f>
        <v/>
      </c>
      <c r="D327" s="15">
        <f>IF(C327&gt;0.005,IF(C327+E327-$C$10&lt;1,C327+E327,$C$10),0)</f>
        <v/>
      </c>
      <c r="E327" s="15">
        <f>IF(C327&gt;0.005,C327*$C$5/1200,0)</f>
        <v/>
      </c>
      <c r="F327" s="15">
        <f>IF(C327&gt;0.005,D327-E327,0)</f>
        <v/>
      </c>
      <c r="G327" s="15">
        <f>IF(C327&gt;0.005,MIN($C$8,C327-F327),0)</f>
        <v/>
      </c>
      <c r="H327" s="15">
        <f>IF(C327&gt;0.005,C327-F327-G327,0)</f>
        <v/>
      </c>
      <c r="I327" s="13">
        <f>IF(A327="","",INT((310-1)/12)+1)</f>
        <v/>
      </c>
    </row>
    <row r="328">
      <c r="A328" s="13">
        <f>IF(C328&gt;0.005,311,"")</f>
        <v/>
      </c>
      <c r="B328" s="14">
        <f>IF(A328="","",EDATE($C$7,311-1))</f>
        <v/>
      </c>
      <c r="C328" s="15">
        <f>H327</f>
        <v/>
      </c>
      <c r="D328" s="15">
        <f>IF(C328&gt;0.005,IF(C328+E328-$C$10&lt;1,C328+E328,$C$10),0)</f>
        <v/>
      </c>
      <c r="E328" s="15">
        <f>IF(C328&gt;0.005,C328*$C$5/1200,0)</f>
        <v/>
      </c>
      <c r="F328" s="15">
        <f>IF(C328&gt;0.005,D328-E328,0)</f>
        <v/>
      </c>
      <c r="G328" s="15">
        <f>IF(C328&gt;0.005,MIN($C$8,C328-F328),0)</f>
        <v/>
      </c>
      <c r="H328" s="15">
        <f>IF(C328&gt;0.005,C328-F328-G328,0)</f>
        <v/>
      </c>
      <c r="I328" s="13">
        <f>IF(A328="","",INT((311-1)/12)+1)</f>
        <v/>
      </c>
    </row>
    <row r="329">
      <c r="A329" s="13">
        <f>IF(C329&gt;0.005,312,"")</f>
        <v/>
      </c>
      <c r="B329" s="14">
        <f>IF(A329="","",EDATE($C$7,312-1))</f>
        <v/>
      </c>
      <c r="C329" s="15">
        <f>H328</f>
        <v/>
      </c>
      <c r="D329" s="15">
        <f>IF(C329&gt;0.005,IF(C329+E329-$C$10&lt;1,C329+E329,$C$10),0)</f>
        <v/>
      </c>
      <c r="E329" s="15">
        <f>IF(C329&gt;0.005,C329*$C$5/1200,0)</f>
        <v/>
      </c>
      <c r="F329" s="15">
        <f>IF(C329&gt;0.005,D329-E329,0)</f>
        <v/>
      </c>
      <c r="G329" s="15">
        <f>IF(C329&gt;0.005,MIN($C$8,C329-F329),0)</f>
        <v/>
      </c>
      <c r="H329" s="15">
        <f>IF(C329&gt;0.005,C329-F329-G329,0)</f>
        <v/>
      </c>
      <c r="I329" s="13">
        <f>IF(A329="","",INT((312-1)/12)+1)</f>
        <v/>
      </c>
    </row>
    <row r="330">
      <c r="A330" s="13">
        <f>IF(C330&gt;0.005,313,"")</f>
        <v/>
      </c>
      <c r="B330" s="14">
        <f>IF(A330="","",EDATE($C$7,313-1))</f>
        <v/>
      </c>
      <c r="C330" s="15">
        <f>H329</f>
        <v/>
      </c>
      <c r="D330" s="15">
        <f>IF(C330&gt;0.005,IF(C330+E330-$C$10&lt;1,C330+E330,$C$10),0)</f>
        <v/>
      </c>
      <c r="E330" s="15">
        <f>IF(C330&gt;0.005,C330*$C$5/1200,0)</f>
        <v/>
      </c>
      <c r="F330" s="15">
        <f>IF(C330&gt;0.005,D330-E330,0)</f>
        <v/>
      </c>
      <c r="G330" s="15">
        <f>IF(C330&gt;0.005,MIN($C$8,C330-F330),0)</f>
        <v/>
      </c>
      <c r="H330" s="15">
        <f>IF(C330&gt;0.005,C330-F330-G330,0)</f>
        <v/>
      </c>
      <c r="I330" s="13">
        <f>IF(A330="","",INT((313-1)/12)+1)</f>
        <v/>
      </c>
    </row>
    <row r="331">
      <c r="A331" s="13">
        <f>IF(C331&gt;0.005,314,"")</f>
        <v/>
      </c>
      <c r="B331" s="14">
        <f>IF(A331="","",EDATE($C$7,314-1))</f>
        <v/>
      </c>
      <c r="C331" s="15">
        <f>H330</f>
        <v/>
      </c>
      <c r="D331" s="15">
        <f>IF(C331&gt;0.005,IF(C331+E331-$C$10&lt;1,C331+E331,$C$10),0)</f>
        <v/>
      </c>
      <c r="E331" s="15">
        <f>IF(C331&gt;0.005,C331*$C$5/1200,0)</f>
        <v/>
      </c>
      <c r="F331" s="15">
        <f>IF(C331&gt;0.005,D331-E331,0)</f>
        <v/>
      </c>
      <c r="G331" s="15">
        <f>IF(C331&gt;0.005,MIN($C$8,C331-F331),0)</f>
        <v/>
      </c>
      <c r="H331" s="15">
        <f>IF(C331&gt;0.005,C331-F331-G331,0)</f>
        <v/>
      </c>
      <c r="I331" s="13">
        <f>IF(A331="","",INT((314-1)/12)+1)</f>
        <v/>
      </c>
    </row>
    <row r="332">
      <c r="A332" s="13">
        <f>IF(C332&gt;0.005,315,"")</f>
        <v/>
      </c>
      <c r="B332" s="14">
        <f>IF(A332="","",EDATE($C$7,315-1))</f>
        <v/>
      </c>
      <c r="C332" s="15">
        <f>H331</f>
        <v/>
      </c>
      <c r="D332" s="15">
        <f>IF(C332&gt;0.005,IF(C332+E332-$C$10&lt;1,C332+E332,$C$10),0)</f>
        <v/>
      </c>
      <c r="E332" s="15">
        <f>IF(C332&gt;0.005,C332*$C$5/1200,0)</f>
        <v/>
      </c>
      <c r="F332" s="15">
        <f>IF(C332&gt;0.005,D332-E332,0)</f>
        <v/>
      </c>
      <c r="G332" s="15">
        <f>IF(C332&gt;0.005,MIN($C$8,C332-F332),0)</f>
        <v/>
      </c>
      <c r="H332" s="15">
        <f>IF(C332&gt;0.005,C332-F332-G332,0)</f>
        <v/>
      </c>
      <c r="I332" s="13">
        <f>IF(A332="","",INT((315-1)/12)+1)</f>
        <v/>
      </c>
    </row>
    <row r="333">
      <c r="A333" s="13">
        <f>IF(C333&gt;0.005,316,"")</f>
        <v/>
      </c>
      <c r="B333" s="14">
        <f>IF(A333="","",EDATE($C$7,316-1))</f>
        <v/>
      </c>
      <c r="C333" s="15">
        <f>H332</f>
        <v/>
      </c>
      <c r="D333" s="15">
        <f>IF(C333&gt;0.005,IF(C333+E333-$C$10&lt;1,C333+E333,$C$10),0)</f>
        <v/>
      </c>
      <c r="E333" s="15">
        <f>IF(C333&gt;0.005,C333*$C$5/1200,0)</f>
        <v/>
      </c>
      <c r="F333" s="15">
        <f>IF(C333&gt;0.005,D333-E333,0)</f>
        <v/>
      </c>
      <c r="G333" s="15">
        <f>IF(C333&gt;0.005,MIN($C$8,C333-F333),0)</f>
        <v/>
      </c>
      <c r="H333" s="15">
        <f>IF(C333&gt;0.005,C333-F333-G333,0)</f>
        <v/>
      </c>
      <c r="I333" s="13">
        <f>IF(A333="","",INT((316-1)/12)+1)</f>
        <v/>
      </c>
    </row>
    <row r="334">
      <c r="A334" s="13">
        <f>IF(C334&gt;0.005,317,"")</f>
        <v/>
      </c>
      <c r="B334" s="14">
        <f>IF(A334="","",EDATE($C$7,317-1))</f>
        <v/>
      </c>
      <c r="C334" s="15">
        <f>H333</f>
        <v/>
      </c>
      <c r="D334" s="15">
        <f>IF(C334&gt;0.005,IF(C334+E334-$C$10&lt;1,C334+E334,$C$10),0)</f>
        <v/>
      </c>
      <c r="E334" s="15">
        <f>IF(C334&gt;0.005,C334*$C$5/1200,0)</f>
        <v/>
      </c>
      <c r="F334" s="15">
        <f>IF(C334&gt;0.005,D334-E334,0)</f>
        <v/>
      </c>
      <c r="G334" s="15">
        <f>IF(C334&gt;0.005,MIN($C$8,C334-F334),0)</f>
        <v/>
      </c>
      <c r="H334" s="15">
        <f>IF(C334&gt;0.005,C334-F334-G334,0)</f>
        <v/>
      </c>
      <c r="I334" s="13">
        <f>IF(A334="","",INT((317-1)/12)+1)</f>
        <v/>
      </c>
    </row>
    <row r="335">
      <c r="A335" s="13">
        <f>IF(C335&gt;0.005,318,"")</f>
        <v/>
      </c>
      <c r="B335" s="14">
        <f>IF(A335="","",EDATE($C$7,318-1))</f>
        <v/>
      </c>
      <c r="C335" s="15">
        <f>H334</f>
        <v/>
      </c>
      <c r="D335" s="15">
        <f>IF(C335&gt;0.005,IF(C335+E335-$C$10&lt;1,C335+E335,$C$10),0)</f>
        <v/>
      </c>
      <c r="E335" s="15">
        <f>IF(C335&gt;0.005,C335*$C$5/1200,0)</f>
        <v/>
      </c>
      <c r="F335" s="15">
        <f>IF(C335&gt;0.005,D335-E335,0)</f>
        <v/>
      </c>
      <c r="G335" s="15">
        <f>IF(C335&gt;0.005,MIN($C$8,C335-F335),0)</f>
        <v/>
      </c>
      <c r="H335" s="15">
        <f>IF(C335&gt;0.005,C335-F335-G335,0)</f>
        <v/>
      </c>
      <c r="I335" s="13">
        <f>IF(A335="","",INT((318-1)/12)+1)</f>
        <v/>
      </c>
    </row>
    <row r="336">
      <c r="A336" s="13">
        <f>IF(C336&gt;0.005,319,"")</f>
        <v/>
      </c>
      <c r="B336" s="14">
        <f>IF(A336="","",EDATE($C$7,319-1))</f>
        <v/>
      </c>
      <c r="C336" s="15">
        <f>H335</f>
        <v/>
      </c>
      <c r="D336" s="15">
        <f>IF(C336&gt;0.005,IF(C336+E336-$C$10&lt;1,C336+E336,$C$10),0)</f>
        <v/>
      </c>
      <c r="E336" s="15">
        <f>IF(C336&gt;0.005,C336*$C$5/1200,0)</f>
        <v/>
      </c>
      <c r="F336" s="15">
        <f>IF(C336&gt;0.005,D336-E336,0)</f>
        <v/>
      </c>
      <c r="G336" s="15">
        <f>IF(C336&gt;0.005,MIN($C$8,C336-F336),0)</f>
        <v/>
      </c>
      <c r="H336" s="15">
        <f>IF(C336&gt;0.005,C336-F336-G336,0)</f>
        <v/>
      </c>
      <c r="I336" s="13">
        <f>IF(A336="","",INT((319-1)/12)+1)</f>
        <v/>
      </c>
    </row>
    <row r="337">
      <c r="A337" s="13">
        <f>IF(C337&gt;0.005,320,"")</f>
        <v/>
      </c>
      <c r="B337" s="14">
        <f>IF(A337="","",EDATE($C$7,320-1))</f>
        <v/>
      </c>
      <c r="C337" s="15">
        <f>H336</f>
        <v/>
      </c>
      <c r="D337" s="15">
        <f>IF(C337&gt;0.005,IF(C337+E337-$C$10&lt;1,C337+E337,$C$10),0)</f>
        <v/>
      </c>
      <c r="E337" s="15">
        <f>IF(C337&gt;0.005,C337*$C$5/1200,0)</f>
        <v/>
      </c>
      <c r="F337" s="15">
        <f>IF(C337&gt;0.005,D337-E337,0)</f>
        <v/>
      </c>
      <c r="G337" s="15">
        <f>IF(C337&gt;0.005,MIN($C$8,C337-F337),0)</f>
        <v/>
      </c>
      <c r="H337" s="15">
        <f>IF(C337&gt;0.005,C337-F337-G337,0)</f>
        <v/>
      </c>
      <c r="I337" s="13">
        <f>IF(A337="","",INT((320-1)/12)+1)</f>
        <v/>
      </c>
    </row>
    <row r="338">
      <c r="A338" s="13">
        <f>IF(C338&gt;0.005,321,"")</f>
        <v/>
      </c>
      <c r="B338" s="14">
        <f>IF(A338="","",EDATE($C$7,321-1))</f>
        <v/>
      </c>
      <c r="C338" s="15">
        <f>H337</f>
        <v/>
      </c>
      <c r="D338" s="15">
        <f>IF(C338&gt;0.005,IF(C338+E338-$C$10&lt;1,C338+E338,$C$10),0)</f>
        <v/>
      </c>
      <c r="E338" s="15">
        <f>IF(C338&gt;0.005,C338*$C$5/1200,0)</f>
        <v/>
      </c>
      <c r="F338" s="15">
        <f>IF(C338&gt;0.005,D338-E338,0)</f>
        <v/>
      </c>
      <c r="G338" s="15">
        <f>IF(C338&gt;0.005,MIN($C$8,C338-F338),0)</f>
        <v/>
      </c>
      <c r="H338" s="15">
        <f>IF(C338&gt;0.005,C338-F338-G338,0)</f>
        <v/>
      </c>
      <c r="I338" s="13">
        <f>IF(A338="","",INT((321-1)/12)+1)</f>
        <v/>
      </c>
    </row>
    <row r="339">
      <c r="A339" s="13">
        <f>IF(C339&gt;0.005,322,"")</f>
        <v/>
      </c>
      <c r="B339" s="14">
        <f>IF(A339="","",EDATE($C$7,322-1))</f>
        <v/>
      </c>
      <c r="C339" s="15">
        <f>H338</f>
        <v/>
      </c>
      <c r="D339" s="15">
        <f>IF(C339&gt;0.005,IF(C339+E339-$C$10&lt;1,C339+E339,$C$10),0)</f>
        <v/>
      </c>
      <c r="E339" s="15">
        <f>IF(C339&gt;0.005,C339*$C$5/1200,0)</f>
        <v/>
      </c>
      <c r="F339" s="15">
        <f>IF(C339&gt;0.005,D339-E339,0)</f>
        <v/>
      </c>
      <c r="G339" s="15">
        <f>IF(C339&gt;0.005,MIN($C$8,C339-F339),0)</f>
        <v/>
      </c>
      <c r="H339" s="15">
        <f>IF(C339&gt;0.005,C339-F339-G339,0)</f>
        <v/>
      </c>
      <c r="I339" s="13">
        <f>IF(A339="","",INT((322-1)/12)+1)</f>
        <v/>
      </c>
    </row>
    <row r="340">
      <c r="A340" s="13">
        <f>IF(C340&gt;0.005,323,"")</f>
        <v/>
      </c>
      <c r="B340" s="14">
        <f>IF(A340="","",EDATE($C$7,323-1))</f>
        <v/>
      </c>
      <c r="C340" s="15">
        <f>H339</f>
        <v/>
      </c>
      <c r="D340" s="15">
        <f>IF(C340&gt;0.005,IF(C340+E340-$C$10&lt;1,C340+E340,$C$10),0)</f>
        <v/>
      </c>
      <c r="E340" s="15">
        <f>IF(C340&gt;0.005,C340*$C$5/1200,0)</f>
        <v/>
      </c>
      <c r="F340" s="15">
        <f>IF(C340&gt;0.005,D340-E340,0)</f>
        <v/>
      </c>
      <c r="G340" s="15">
        <f>IF(C340&gt;0.005,MIN($C$8,C340-F340),0)</f>
        <v/>
      </c>
      <c r="H340" s="15">
        <f>IF(C340&gt;0.005,C340-F340-G340,0)</f>
        <v/>
      </c>
      <c r="I340" s="13">
        <f>IF(A340="","",INT((323-1)/12)+1)</f>
        <v/>
      </c>
    </row>
    <row r="341">
      <c r="A341" s="13">
        <f>IF(C341&gt;0.005,324,"")</f>
        <v/>
      </c>
      <c r="B341" s="14">
        <f>IF(A341="","",EDATE($C$7,324-1))</f>
        <v/>
      </c>
      <c r="C341" s="15">
        <f>H340</f>
        <v/>
      </c>
      <c r="D341" s="15">
        <f>IF(C341&gt;0.005,IF(C341+E341-$C$10&lt;1,C341+E341,$C$10),0)</f>
        <v/>
      </c>
      <c r="E341" s="15">
        <f>IF(C341&gt;0.005,C341*$C$5/1200,0)</f>
        <v/>
      </c>
      <c r="F341" s="15">
        <f>IF(C341&gt;0.005,D341-E341,0)</f>
        <v/>
      </c>
      <c r="G341" s="15">
        <f>IF(C341&gt;0.005,MIN($C$8,C341-F341),0)</f>
        <v/>
      </c>
      <c r="H341" s="15">
        <f>IF(C341&gt;0.005,C341-F341-G341,0)</f>
        <v/>
      </c>
      <c r="I341" s="13">
        <f>IF(A341="","",INT((324-1)/12)+1)</f>
        <v/>
      </c>
    </row>
    <row r="342">
      <c r="A342" s="13">
        <f>IF(C342&gt;0.005,325,"")</f>
        <v/>
      </c>
      <c r="B342" s="14">
        <f>IF(A342="","",EDATE($C$7,325-1))</f>
        <v/>
      </c>
      <c r="C342" s="15">
        <f>H341</f>
        <v/>
      </c>
      <c r="D342" s="15">
        <f>IF(C342&gt;0.005,IF(C342+E342-$C$10&lt;1,C342+E342,$C$10),0)</f>
        <v/>
      </c>
      <c r="E342" s="15">
        <f>IF(C342&gt;0.005,C342*$C$5/1200,0)</f>
        <v/>
      </c>
      <c r="F342" s="15">
        <f>IF(C342&gt;0.005,D342-E342,0)</f>
        <v/>
      </c>
      <c r="G342" s="15">
        <f>IF(C342&gt;0.005,MIN($C$8,C342-F342),0)</f>
        <v/>
      </c>
      <c r="H342" s="15">
        <f>IF(C342&gt;0.005,C342-F342-G342,0)</f>
        <v/>
      </c>
      <c r="I342" s="13">
        <f>IF(A342="","",INT((325-1)/12)+1)</f>
        <v/>
      </c>
    </row>
    <row r="343">
      <c r="A343" s="13">
        <f>IF(C343&gt;0.005,326,"")</f>
        <v/>
      </c>
      <c r="B343" s="14">
        <f>IF(A343="","",EDATE($C$7,326-1))</f>
        <v/>
      </c>
      <c r="C343" s="15">
        <f>H342</f>
        <v/>
      </c>
      <c r="D343" s="15">
        <f>IF(C343&gt;0.005,IF(C343+E343-$C$10&lt;1,C343+E343,$C$10),0)</f>
        <v/>
      </c>
      <c r="E343" s="15">
        <f>IF(C343&gt;0.005,C343*$C$5/1200,0)</f>
        <v/>
      </c>
      <c r="F343" s="15">
        <f>IF(C343&gt;0.005,D343-E343,0)</f>
        <v/>
      </c>
      <c r="G343" s="15">
        <f>IF(C343&gt;0.005,MIN($C$8,C343-F343),0)</f>
        <v/>
      </c>
      <c r="H343" s="15">
        <f>IF(C343&gt;0.005,C343-F343-G343,0)</f>
        <v/>
      </c>
      <c r="I343" s="13">
        <f>IF(A343="","",INT((326-1)/12)+1)</f>
        <v/>
      </c>
    </row>
    <row r="344">
      <c r="A344" s="13">
        <f>IF(C344&gt;0.005,327,"")</f>
        <v/>
      </c>
      <c r="B344" s="14">
        <f>IF(A344="","",EDATE($C$7,327-1))</f>
        <v/>
      </c>
      <c r="C344" s="15">
        <f>H343</f>
        <v/>
      </c>
      <c r="D344" s="15">
        <f>IF(C344&gt;0.005,IF(C344+E344-$C$10&lt;1,C344+E344,$C$10),0)</f>
        <v/>
      </c>
      <c r="E344" s="15">
        <f>IF(C344&gt;0.005,C344*$C$5/1200,0)</f>
        <v/>
      </c>
      <c r="F344" s="15">
        <f>IF(C344&gt;0.005,D344-E344,0)</f>
        <v/>
      </c>
      <c r="G344" s="15">
        <f>IF(C344&gt;0.005,MIN($C$8,C344-F344),0)</f>
        <v/>
      </c>
      <c r="H344" s="15">
        <f>IF(C344&gt;0.005,C344-F344-G344,0)</f>
        <v/>
      </c>
      <c r="I344" s="13">
        <f>IF(A344="","",INT((327-1)/12)+1)</f>
        <v/>
      </c>
    </row>
    <row r="345">
      <c r="A345" s="13">
        <f>IF(C345&gt;0.005,328,"")</f>
        <v/>
      </c>
      <c r="B345" s="14">
        <f>IF(A345="","",EDATE($C$7,328-1))</f>
        <v/>
      </c>
      <c r="C345" s="15">
        <f>H344</f>
        <v/>
      </c>
      <c r="D345" s="15">
        <f>IF(C345&gt;0.005,IF(C345+E345-$C$10&lt;1,C345+E345,$C$10),0)</f>
        <v/>
      </c>
      <c r="E345" s="15">
        <f>IF(C345&gt;0.005,C345*$C$5/1200,0)</f>
        <v/>
      </c>
      <c r="F345" s="15">
        <f>IF(C345&gt;0.005,D345-E345,0)</f>
        <v/>
      </c>
      <c r="G345" s="15">
        <f>IF(C345&gt;0.005,MIN($C$8,C345-F345),0)</f>
        <v/>
      </c>
      <c r="H345" s="15">
        <f>IF(C345&gt;0.005,C345-F345-G345,0)</f>
        <v/>
      </c>
      <c r="I345" s="13">
        <f>IF(A345="","",INT((328-1)/12)+1)</f>
        <v/>
      </c>
    </row>
    <row r="346">
      <c r="A346" s="13">
        <f>IF(C346&gt;0.005,329,"")</f>
        <v/>
      </c>
      <c r="B346" s="14">
        <f>IF(A346="","",EDATE($C$7,329-1))</f>
        <v/>
      </c>
      <c r="C346" s="15">
        <f>H345</f>
        <v/>
      </c>
      <c r="D346" s="15">
        <f>IF(C346&gt;0.005,IF(C346+E346-$C$10&lt;1,C346+E346,$C$10),0)</f>
        <v/>
      </c>
      <c r="E346" s="15">
        <f>IF(C346&gt;0.005,C346*$C$5/1200,0)</f>
        <v/>
      </c>
      <c r="F346" s="15">
        <f>IF(C346&gt;0.005,D346-E346,0)</f>
        <v/>
      </c>
      <c r="G346" s="15">
        <f>IF(C346&gt;0.005,MIN($C$8,C346-F346),0)</f>
        <v/>
      </c>
      <c r="H346" s="15">
        <f>IF(C346&gt;0.005,C346-F346-G346,0)</f>
        <v/>
      </c>
      <c r="I346" s="13">
        <f>IF(A346="","",INT((329-1)/12)+1)</f>
        <v/>
      </c>
    </row>
    <row r="347">
      <c r="A347" s="13">
        <f>IF(C347&gt;0.005,330,"")</f>
        <v/>
      </c>
      <c r="B347" s="14">
        <f>IF(A347="","",EDATE($C$7,330-1))</f>
        <v/>
      </c>
      <c r="C347" s="15">
        <f>H346</f>
        <v/>
      </c>
      <c r="D347" s="15">
        <f>IF(C347&gt;0.005,IF(C347+E347-$C$10&lt;1,C347+E347,$C$10),0)</f>
        <v/>
      </c>
      <c r="E347" s="15">
        <f>IF(C347&gt;0.005,C347*$C$5/1200,0)</f>
        <v/>
      </c>
      <c r="F347" s="15">
        <f>IF(C347&gt;0.005,D347-E347,0)</f>
        <v/>
      </c>
      <c r="G347" s="15">
        <f>IF(C347&gt;0.005,MIN($C$8,C347-F347),0)</f>
        <v/>
      </c>
      <c r="H347" s="15">
        <f>IF(C347&gt;0.005,C347-F347-G347,0)</f>
        <v/>
      </c>
      <c r="I347" s="13">
        <f>IF(A347="","",INT((330-1)/12)+1)</f>
        <v/>
      </c>
    </row>
    <row r="348">
      <c r="A348" s="13">
        <f>IF(C348&gt;0.005,331,"")</f>
        <v/>
      </c>
      <c r="B348" s="14">
        <f>IF(A348="","",EDATE($C$7,331-1))</f>
        <v/>
      </c>
      <c r="C348" s="15">
        <f>H347</f>
        <v/>
      </c>
      <c r="D348" s="15">
        <f>IF(C348&gt;0.005,IF(C348+E348-$C$10&lt;1,C348+E348,$C$10),0)</f>
        <v/>
      </c>
      <c r="E348" s="15">
        <f>IF(C348&gt;0.005,C348*$C$5/1200,0)</f>
        <v/>
      </c>
      <c r="F348" s="15">
        <f>IF(C348&gt;0.005,D348-E348,0)</f>
        <v/>
      </c>
      <c r="G348" s="15">
        <f>IF(C348&gt;0.005,MIN($C$8,C348-F348),0)</f>
        <v/>
      </c>
      <c r="H348" s="15">
        <f>IF(C348&gt;0.005,C348-F348-G348,0)</f>
        <v/>
      </c>
      <c r="I348" s="13">
        <f>IF(A348="","",INT((331-1)/12)+1)</f>
        <v/>
      </c>
    </row>
    <row r="349">
      <c r="A349" s="13">
        <f>IF(C349&gt;0.005,332,"")</f>
        <v/>
      </c>
      <c r="B349" s="14">
        <f>IF(A349="","",EDATE($C$7,332-1))</f>
        <v/>
      </c>
      <c r="C349" s="15">
        <f>H348</f>
        <v/>
      </c>
      <c r="D349" s="15">
        <f>IF(C349&gt;0.005,IF(C349+E349-$C$10&lt;1,C349+E349,$C$10),0)</f>
        <v/>
      </c>
      <c r="E349" s="15">
        <f>IF(C349&gt;0.005,C349*$C$5/1200,0)</f>
        <v/>
      </c>
      <c r="F349" s="15">
        <f>IF(C349&gt;0.005,D349-E349,0)</f>
        <v/>
      </c>
      <c r="G349" s="15">
        <f>IF(C349&gt;0.005,MIN($C$8,C349-F349),0)</f>
        <v/>
      </c>
      <c r="H349" s="15">
        <f>IF(C349&gt;0.005,C349-F349-G349,0)</f>
        <v/>
      </c>
      <c r="I349" s="13">
        <f>IF(A349="","",INT((332-1)/12)+1)</f>
        <v/>
      </c>
    </row>
    <row r="350">
      <c r="A350" s="13">
        <f>IF(C350&gt;0.005,333,"")</f>
        <v/>
      </c>
      <c r="B350" s="14">
        <f>IF(A350="","",EDATE($C$7,333-1))</f>
        <v/>
      </c>
      <c r="C350" s="15">
        <f>H349</f>
        <v/>
      </c>
      <c r="D350" s="15">
        <f>IF(C350&gt;0.005,IF(C350+E350-$C$10&lt;1,C350+E350,$C$10),0)</f>
        <v/>
      </c>
      <c r="E350" s="15">
        <f>IF(C350&gt;0.005,C350*$C$5/1200,0)</f>
        <v/>
      </c>
      <c r="F350" s="15">
        <f>IF(C350&gt;0.005,D350-E350,0)</f>
        <v/>
      </c>
      <c r="G350" s="15">
        <f>IF(C350&gt;0.005,MIN($C$8,C350-F350),0)</f>
        <v/>
      </c>
      <c r="H350" s="15">
        <f>IF(C350&gt;0.005,C350-F350-G350,0)</f>
        <v/>
      </c>
      <c r="I350" s="13">
        <f>IF(A350="","",INT((333-1)/12)+1)</f>
        <v/>
      </c>
    </row>
    <row r="351">
      <c r="A351" s="13">
        <f>IF(C351&gt;0.005,334,"")</f>
        <v/>
      </c>
      <c r="B351" s="14">
        <f>IF(A351="","",EDATE($C$7,334-1))</f>
        <v/>
      </c>
      <c r="C351" s="15">
        <f>H350</f>
        <v/>
      </c>
      <c r="D351" s="15">
        <f>IF(C351&gt;0.005,IF(C351+E351-$C$10&lt;1,C351+E351,$C$10),0)</f>
        <v/>
      </c>
      <c r="E351" s="15">
        <f>IF(C351&gt;0.005,C351*$C$5/1200,0)</f>
        <v/>
      </c>
      <c r="F351" s="15">
        <f>IF(C351&gt;0.005,D351-E351,0)</f>
        <v/>
      </c>
      <c r="G351" s="15">
        <f>IF(C351&gt;0.005,MIN($C$8,C351-F351),0)</f>
        <v/>
      </c>
      <c r="H351" s="15">
        <f>IF(C351&gt;0.005,C351-F351-G351,0)</f>
        <v/>
      </c>
      <c r="I351" s="13">
        <f>IF(A351="","",INT((334-1)/12)+1)</f>
        <v/>
      </c>
    </row>
    <row r="352">
      <c r="A352" s="13">
        <f>IF(C352&gt;0.005,335,"")</f>
        <v/>
      </c>
      <c r="B352" s="14">
        <f>IF(A352="","",EDATE($C$7,335-1))</f>
        <v/>
      </c>
      <c r="C352" s="15">
        <f>H351</f>
        <v/>
      </c>
      <c r="D352" s="15">
        <f>IF(C352&gt;0.005,IF(C352+E352-$C$10&lt;1,C352+E352,$C$10),0)</f>
        <v/>
      </c>
      <c r="E352" s="15">
        <f>IF(C352&gt;0.005,C352*$C$5/1200,0)</f>
        <v/>
      </c>
      <c r="F352" s="15">
        <f>IF(C352&gt;0.005,D352-E352,0)</f>
        <v/>
      </c>
      <c r="G352" s="15">
        <f>IF(C352&gt;0.005,MIN($C$8,C352-F352),0)</f>
        <v/>
      </c>
      <c r="H352" s="15">
        <f>IF(C352&gt;0.005,C352-F352-G352,0)</f>
        <v/>
      </c>
      <c r="I352" s="13">
        <f>IF(A352="","",INT((335-1)/12)+1)</f>
        <v/>
      </c>
    </row>
    <row r="353">
      <c r="A353" s="13">
        <f>IF(C353&gt;0.005,336,"")</f>
        <v/>
      </c>
      <c r="B353" s="14">
        <f>IF(A353="","",EDATE($C$7,336-1))</f>
        <v/>
      </c>
      <c r="C353" s="15">
        <f>H352</f>
        <v/>
      </c>
      <c r="D353" s="15">
        <f>IF(C353&gt;0.005,IF(C353+E353-$C$10&lt;1,C353+E353,$C$10),0)</f>
        <v/>
      </c>
      <c r="E353" s="15">
        <f>IF(C353&gt;0.005,C353*$C$5/1200,0)</f>
        <v/>
      </c>
      <c r="F353" s="15">
        <f>IF(C353&gt;0.005,D353-E353,0)</f>
        <v/>
      </c>
      <c r="G353" s="15">
        <f>IF(C353&gt;0.005,MIN($C$8,C353-F353),0)</f>
        <v/>
      </c>
      <c r="H353" s="15">
        <f>IF(C353&gt;0.005,C353-F353-G353,0)</f>
        <v/>
      </c>
      <c r="I353" s="13">
        <f>IF(A353="","",INT((336-1)/12)+1)</f>
        <v/>
      </c>
    </row>
    <row r="354">
      <c r="A354" s="13">
        <f>IF(C354&gt;0.005,337,"")</f>
        <v/>
      </c>
      <c r="B354" s="14">
        <f>IF(A354="","",EDATE($C$7,337-1))</f>
        <v/>
      </c>
      <c r="C354" s="15">
        <f>H353</f>
        <v/>
      </c>
      <c r="D354" s="15">
        <f>IF(C354&gt;0.005,IF(C354+E354-$C$10&lt;1,C354+E354,$C$10),0)</f>
        <v/>
      </c>
      <c r="E354" s="15">
        <f>IF(C354&gt;0.005,C354*$C$5/1200,0)</f>
        <v/>
      </c>
      <c r="F354" s="15">
        <f>IF(C354&gt;0.005,D354-E354,0)</f>
        <v/>
      </c>
      <c r="G354" s="15">
        <f>IF(C354&gt;0.005,MIN($C$8,C354-F354),0)</f>
        <v/>
      </c>
      <c r="H354" s="15">
        <f>IF(C354&gt;0.005,C354-F354-G354,0)</f>
        <v/>
      </c>
      <c r="I354" s="13">
        <f>IF(A354="","",INT((337-1)/12)+1)</f>
        <v/>
      </c>
    </row>
    <row r="355">
      <c r="A355" s="13">
        <f>IF(C355&gt;0.005,338,"")</f>
        <v/>
      </c>
      <c r="B355" s="14">
        <f>IF(A355="","",EDATE($C$7,338-1))</f>
        <v/>
      </c>
      <c r="C355" s="15">
        <f>H354</f>
        <v/>
      </c>
      <c r="D355" s="15">
        <f>IF(C355&gt;0.005,IF(C355+E355-$C$10&lt;1,C355+E355,$C$10),0)</f>
        <v/>
      </c>
      <c r="E355" s="15">
        <f>IF(C355&gt;0.005,C355*$C$5/1200,0)</f>
        <v/>
      </c>
      <c r="F355" s="15">
        <f>IF(C355&gt;0.005,D355-E355,0)</f>
        <v/>
      </c>
      <c r="G355" s="15">
        <f>IF(C355&gt;0.005,MIN($C$8,C355-F355),0)</f>
        <v/>
      </c>
      <c r="H355" s="15">
        <f>IF(C355&gt;0.005,C355-F355-G355,0)</f>
        <v/>
      </c>
      <c r="I355" s="13">
        <f>IF(A355="","",INT((338-1)/12)+1)</f>
        <v/>
      </c>
    </row>
    <row r="356">
      <c r="A356" s="13">
        <f>IF(C356&gt;0.005,339,"")</f>
        <v/>
      </c>
      <c r="B356" s="14">
        <f>IF(A356="","",EDATE($C$7,339-1))</f>
        <v/>
      </c>
      <c r="C356" s="15">
        <f>H355</f>
        <v/>
      </c>
      <c r="D356" s="15">
        <f>IF(C356&gt;0.005,IF(C356+E356-$C$10&lt;1,C356+E356,$C$10),0)</f>
        <v/>
      </c>
      <c r="E356" s="15">
        <f>IF(C356&gt;0.005,C356*$C$5/1200,0)</f>
        <v/>
      </c>
      <c r="F356" s="15">
        <f>IF(C356&gt;0.005,D356-E356,0)</f>
        <v/>
      </c>
      <c r="G356" s="15">
        <f>IF(C356&gt;0.005,MIN($C$8,C356-F356),0)</f>
        <v/>
      </c>
      <c r="H356" s="15">
        <f>IF(C356&gt;0.005,C356-F356-G356,0)</f>
        <v/>
      </c>
      <c r="I356" s="13">
        <f>IF(A356="","",INT((339-1)/12)+1)</f>
        <v/>
      </c>
    </row>
    <row r="357">
      <c r="A357" s="13">
        <f>IF(C357&gt;0.005,340,"")</f>
        <v/>
      </c>
      <c r="B357" s="14">
        <f>IF(A357="","",EDATE($C$7,340-1))</f>
        <v/>
      </c>
      <c r="C357" s="15">
        <f>H356</f>
        <v/>
      </c>
      <c r="D357" s="15">
        <f>IF(C357&gt;0.005,IF(C357+E357-$C$10&lt;1,C357+E357,$C$10),0)</f>
        <v/>
      </c>
      <c r="E357" s="15">
        <f>IF(C357&gt;0.005,C357*$C$5/1200,0)</f>
        <v/>
      </c>
      <c r="F357" s="15">
        <f>IF(C357&gt;0.005,D357-E357,0)</f>
        <v/>
      </c>
      <c r="G357" s="15">
        <f>IF(C357&gt;0.005,MIN($C$8,C357-F357),0)</f>
        <v/>
      </c>
      <c r="H357" s="15">
        <f>IF(C357&gt;0.005,C357-F357-G357,0)</f>
        <v/>
      </c>
      <c r="I357" s="13">
        <f>IF(A357="","",INT((340-1)/12)+1)</f>
        <v/>
      </c>
    </row>
    <row r="358">
      <c r="A358" s="13">
        <f>IF(C358&gt;0.005,341,"")</f>
        <v/>
      </c>
      <c r="B358" s="14">
        <f>IF(A358="","",EDATE($C$7,341-1))</f>
        <v/>
      </c>
      <c r="C358" s="15">
        <f>H357</f>
        <v/>
      </c>
      <c r="D358" s="15">
        <f>IF(C358&gt;0.005,IF(C358+E358-$C$10&lt;1,C358+E358,$C$10),0)</f>
        <v/>
      </c>
      <c r="E358" s="15">
        <f>IF(C358&gt;0.005,C358*$C$5/1200,0)</f>
        <v/>
      </c>
      <c r="F358" s="15">
        <f>IF(C358&gt;0.005,D358-E358,0)</f>
        <v/>
      </c>
      <c r="G358" s="15">
        <f>IF(C358&gt;0.005,MIN($C$8,C358-F358),0)</f>
        <v/>
      </c>
      <c r="H358" s="15">
        <f>IF(C358&gt;0.005,C358-F358-G358,0)</f>
        <v/>
      </c>
      <c r="I358" s="13">
        <f>IF(A358="","",INT((341-1)/12)+1)</f>
        <v/>
      </c>
    </row>
    <row r="359">
      <c r="A359" s="13">
        <f>IF(C359&gt;0.005,342,"")</f>
        <v/>
      </c>
      <c r="B359" s="14">
        <f>IF(A359="","",EDATE($C$7,342-1))</f>
        <v/>
      </c>
      <c r="C359" s="15">
        <f>H358</f>
        <v/>
      </c>
      <c r="D359" s="15">
        <f>IF(C359&gt;0.005,IF(C359+E359-$C$10&lt;1,C359+E359,$C$10),0)</f>
        <v/>
      </c>
      <c r="E359" s="15">
        <f>IF(C359&gt;0.005,C359*$C$5/1200,0)</f>
        <v/>
      </c>
      <c r="F359" s="15">
        <f>IF(C359&gt;0.005,D359-E359,0)</f>
        <v/>
      </c>
      <c r="G359" s="15">
        <f>IF(C359&gt;0.005,MIN($C$8,C359-F359),0)</f>
        <v/>
      </c>
      <c r="H359" s="15">
        <f>IF(C359&gt;0.005,C359-F359-G359,0)</f>
        <v/>
      </c>
      <c r="I359" s="13">
        <f>IF(A359="","",INT((342-1)/12)+1)</f>
        <v/>
      </c>
    </row>
    <row r="360">
      <c r="A360" s="13">
        <f>IF(C360&gt;0.005,343,"")</f>
        <v/>
      </c>
      <c r="B360" s="14">
        <f>IF(A360="","",EDATE($C$7,343-1))</f>
        <v/>
      </c>
      <c r="C360" s="15">
        <f>H359</f>
        <v/>
      </c>
      <c r="D360" s="15">
        <f>IF(C360&gt;0.005,IF(C360+E360-$C$10&lt;1,C360+E360,$C$10),0)</f>
        <v/>
      </c>
      <c r="E360" s="15">
        <f>IF(C360&gt;0.005,C360*$C$5/1200,0)</f>
        <v/>
      </c>
      <c r="F360" s="15">
        <f>IF(C360&gt;0.005,D360-E360,0)</f>
        <v/>
      </c>
      <c r="G360" s="15">
        <f>IF(C360&gt;0.005,MIN($C$8,C360-F360),0)</f>
        <v/>
      </c>
      <c r="H360" s="15">
        <f>IF(C360&gt;0.005,C360-F360-G360,0)</f>
        <v/>
      </c>
      <c r="I360" s="13">
        <f>IF(A360="","",INT((343-1)/12)+1)</f>
        <v/>
      </c>
    </row>
    <row r="361">
      <c r="A361" s="13">
        <f>IF(C361&gt;0.005,344,"")</f>
        <v/>
      </c>
      <c r="B361" s="14">
        <f>IF(A361="","",EDATE($C$7,344-1))</f>
        <v/>
      </c>
      <c r="C361" s="15">
        <f>H360</f>
        <v/>
      </c>
      <c r="D361" s="15">
        <f>IF(C361&gt;0.005,IF(C361+E361-$C$10&lt;1,C361+E361,$C$10),0)</f>
        <v/>
      </c>
      <c r="E361" s="15">
        <f>IF(C361&gt;0.005,C361*$C$5/1200,0)</f>
        <v/>
      </c>
      <c r="F361" s="15">
        <f>IF(C361&gt;0.005,D361-E361,0)</f>
        <v/>
      </c>
      <c r="G361" s="15">
        <f>IF(C361&gt;0.005,MIN($C$8,C361-F361),0)</f>
        <v/>
      </c>
      <c r="H361" s="15">
        <f>IF(C361&gt;0.005,C361-F361-G361,0)</f>
        <v/>
      </c>
      <c r="I361" s="13">
        <f>IF(A361="","",INT((344-1)/12)+1)</f>
        <v/>
      </c>
    </row>
    <row r="362">
      <c r="A362" s="13">
        <f>IF(C362&gt;0.005,345,"")</f>
        <v/>
      </c>
      <c r="B362" s="14">
        <f>IF(A362="","",EDATE($C$7,345-1))</f>
        <v/>
      </c>
      <c r="C362" s="15">
        <f>H361</f>
        <v/>
      </c>
      <c r="D362" s="15">
        <f>IF(C362&gt;0.005,IF(C362+E362-$C$10&lt;1,C362+E362,$C$10),0)</f>
        <v/>
      </c>
      <c r="E362" s="15">
        <f>IF(C362&gt;0.005,C362*$C$5/1200,0)</f>
        <v/>
      </c>
      <c r="F362" s="15">
        <f>IF(C362&gt;0.005,D362-E362,0)</f>
        <v/>
      </c>
      <c r="G362" s="15">
        <f>IF(C362&gt;0.005,MIN($C$8,C362-F362),0)</f>
        <v/>
      </c>
      <c r="H362" s="15">
        <f>IF(C362&gt;0.005,C362-F362-G362,0)</f>
        <v/>
      </c>
      <c r="I362" s="13">
        <f>IF(A362="","",INT((345-1)/12)+1)</f>
        <v/>
      </c>
    </row>
    <row r="363">
      <c r="A363" s="13">
        <f>IF(C363&gt;0.005,346,"")</f>
        <v/>
      </c>
      <c r="B363" s="14">
        <f>IF(A363="","",EDATE($C$7,346-1))</f>
        <v/>
      </c>
      <c r="C363" s="15">
        <f>H362</f>
        <v/>
      </c>
      <c r="D363" s="15">
        <f>IF(C363&gt;0.005,IF(C363+E363-$C$10&lt;1,C363+E363,$C$10),0)</f>
        <v/>
      </c>
      <c r="E363" s="15">
        <f>IF(C363&gt;0.005,C363*$C$5/1200,0)</f>
        <v/>
      </c>
      <c r="F363" s="15">
        <f>IF(C363&gt;0.005,D363-E363,0)</f>
        <v/>
      </c>
      <c r="G363" s="15">
        <f>IF(C363&gt;0.005,MIN($C$8,C363-F363),0)</f>
        <v/>
      </c>
      <c r="H363" s="15">
        <f>IF(C363&gt;0.005,C363-F363-G363,0)</f>
        <v/>
      </c>
      <c r="I363" s="13">
        <f>IF(A363="","",INT((346-1)/12)+1)</f>
        <v/>
      </c>
    </row>
    <row r="364">
      <c r="A364" s="13">
        <f>IF(C364&gt;0.005,347,"")</f>
        <v/>
      </c>
      <c r="B364" s="14">
        <f>IF(A364="","",EDATE($C$7,347-1))</f>
        <v/>
      </c>
      <c r="C364" s="15">
        <f>H363</f>
        <v/>
      </c>
      <c r="D364" s="15">
        <f>IF(C364&gt;0.005,IF(C364+E364-$C$10&lt;1,C364+E364,$C$10),0)</f>
        <v/>
      </c>
      <c r="E364" s="15">
        <f>IF(C364&gt;0.005,C364*$C$5/1200,0)</f>
        <v/>
      </c>
      <c r="F364" s="15">
        <f>IF(C364&gt;0.005,D364-E364,0)</f>
        <v/>
      </c>
      <c r="G364" s="15">
        <f>IF(C364&gt;0.005,MIN($C$8,C364-F364),0)</f>
        <v/>
      </c>
      <c r="H364" s="15">
        <f>IF(C364&gt;0.005,C364-F364-G364,0)</f>
        <v/>
      </c>
      <c r="I364" s="13">
        <f>IF(A364="","",INT((347-1)/12)+1)</f>
        <v/>
      </c>
    </row>
    <row r="365">
      <c r="A365" s="13">
        <f>IF(C365&gt;0.005,348,"")</f>
        <v/>
      </c>
      <c r="B365" s="14">
        <f>IF(A365="","",EDATE($C$7,348-1))</f>
        <v/>
      </c>
      <c r="C365" s="15">
        <f>H364</f>
        <v/>
      </c>
      <c r="D365" s="15">
        <f>IF(C365&gt;0.005,IF(C365+E365-$C$10&lt;1,C365+E365,$C$10),0)</f>
        <v/>
      </c>
      <c r="E365" s="15">
        <f>IF(C365&gt;0.005,C365*$C$5/1200,0)</f>
        <v/>
      </c>
      <c r="F365" s="15">
        <f>IF(C365&gt;0.005,D365-E365,0)</f>
        <v/>
      </c>
      <c r="G365" s="15">
        <f>IF(C365&gt;0.005,MIN($C$8,C365-F365),0)</f>
        <v/>
      </c>
      <c r="H365" s="15">
        <f>IF(C365&gt;0.005,C365-F365-G365,0)</f>
        <v/>
      </c>
      <c r="I365" s="13">
        <f>IF(A365="","",INT((348-1)/12)+1)</f>
        <v/>
      </c>
    </row>
    <row r="366">
      <c r="A366" s="13">
        <f>IF(C366&gt;0.005,349,"")</f>
        <v/>
      </c>
      <c r="B366" s="14">
        <f>IF(A366="","",EDATE($C$7,349-1))</f>
        <v/>
      </c>
      <c r="C366" s="15">
        <f>H365</f>
        <v/>
      </c>
      <c r="D366" s="15">
        <f>IF(C366&gt;0.005,IF(C366+E366-$C$10&lt;1,C366+E366,$C$10),0)</f>
        <v/>
      </c>
      <c r="E366" s="15">
        <f>IF(C366&gt;0.005,C366*$C$5/1200,0)</f>
        <v/>
      </c>
      <c r="F366" s="15">
        <f>IF(C366&gt;0.005,D366-E366,0)</f>
        <v/>
      </c>
      <c r="G366" s="15">
        <f>IF(C366&gt;0.005,MIN($C$8,C366-F366),0)</f>
        <v/>
      </c>
      <c r="H366" s="15">
        <f>IF(C366&gt;0.005,C366-F366-G366,0)</f>
        <v/>
      </c>
      <c r="I366" s="13">
        <f>IF(A366="","",INT((349-1)/12)+1)</f>
        <v/>
      </c>
    </row>
    <row r="367">
      <c r="A367" s="13">
        <f>IF(C367&gt;0.005,350,"")</f>
        <v/>
      </c>
      <c r="B367" s="14">
        <f>IF(A367="","",EDATE($C$7,350-1))</f>
        <v/>
      </c>
      <c r="C367" s="15">
        <f>H366</f>
        <v/>
      </c>
      <c r="D367" s="15">
        <f>IF(C367&gt;0.005,IF(C367+E367-$C$10&lt;1,C367+E367,$C$10),0)</f>
        <v/>
      </c>
      <c r="E367" s="15">
        <f>IF(C367&gt;0.005,C367*$C$5/1200,0)</f>
        <v/>
      </c>
      <c r="F367" s="15">
        <f>IF(C367&gt;0.005,D367-E367,0)</f>
        <v/>
      </c>
      <c r="G367" s="15">
        <f>IF(C367&gt;0.005,MIN($C$8,C367-F367),0)</f>
        <v/>
      </c>
      <c r="H367" s="15">
        <f>IF(C367&gt;0.005,C367-F367-G367,0)</f>
        <v/>
      </c>
      <c r="I367" s="13">
        <f>IF(A367="","",INT((350-1)/12)+1)</f>
        <v/>
      </c>
    </row>
    <row r="368">
      <c r="A368" s="13">
        <f>IF(C368&gt;0.005,351,"")</f>
        <v/>
      </c>
      <c r="B368" s="14">
        <f>IF(A368="","",EDATE($C$7,351-1))</f>
        <v/>
      </c>
      <c r="C368" s="15">
        <f>H367</f>
        <v/>
      </c>
      <c r="D368" s="15">
        <f>IF(C368&gt;0.005,IF(C368+E368-$C$10&lt;1,C368+E368,$C$10),0)</f>
        <v/>
      </c>
      <c r="E368" s="15">
        <f>IF(C368&gt;0.005,C368*$C$5/1200,0)</f>
        <v/>
      </c>
      <c r="F368" s="15">
        <f>IF(C368&gt;0.005,D368-E368,0)</f>
        <v/>
      </c>
      <c r="G368" s="15">
        <f>IF(C368&gt;0.005,MIN($C$8,C368-F368),0)</f>
        <v/>
      </c>
      <c r="H368" s="15">
        <f>IF(C368&gt;0.005,C368-F368-G368,0)</f>
        <v/>
      </c>
      <c r="I368" s="13">
        <f>IF(A368="","",INT((351-1)/12)+1)</f>
        <v/>
      </c>
    </row>
    <row r="369">
      <c r="A369" s="13">
        <f>IF(C369&gt;0.005,352,"")</f>
        <v/>
      </c>
      <c r="B369" s="14">
        <f>IF(A369="","",EDATE($C$7,352-1))</f>
        <v/>
      </c>
      <c r="C369" s="15">
        <f>H368</f>
        <v/>
      </c>
      <c r="D369" s="15">
        <f>IF(C369&gt;0.005,IF(C369+E369-$C$10&lt;1,C369+E369,$C$10),0)</f>
        <v/>
      </c>
      <c r="E369" s="15">
        <f>IF(C369&gt;0.005,C369*$C$5/1200,0)</f>
        <v/>
      </c>
      <c r="F369" s="15">
        <f>IF(C369&gt;0.005,D369-E369,0)</f>
        <v/>
      </c>
      <c r="G369" s="15">
        <f>IF(C369&gt;0.005,MIN($C$8,C369-F369),0)</f>
        <v/>
      </c>
      <c r="H369" s="15">
        <f>IF(C369&gt;0.005,C369-F369-G369,0)</f>
        <v/>
      </c>
      <c r="I369" s="13">
        <f>IF(A369="","",INT((352-1)/12)+1)</f>
        <v/>
      </c>
    </row>
    <row r="370">
      <c r="A370" s="13">
        <f>IF(C370&gt;0.005,353,"")</f>
        <v/>
      </c>
      <c r="B370" s="14">
        <f>IF(A370="","",EDATE($C$7,353-1))</f>
        <v/>
      </c>
      <c r="C370" s="15">
        <f>H369</f>
        <v/>
      </c>
      <c r="D370" s="15">
        <f>IF(C370&gt;0.005,IF(C370+E370-$C$10&lt;1,C370+E370,$C$10),0)</f>
        <v/>
      </c>
      <c r="E370" s="15">
        <f>IF(C370&gt;0.005,C370*$C$5/1200,0)</f>
        <v/>
      </c>
      <c r="F370" s="15">
        <f>IF(C370&gt;0.005,D370-E370,0)</f>
        <v/>
      </c>
      <c r="G370" s="15">
        <f>IF(C370&gt;0.005,MIN($C$8,C370-F370),0)</f>
        <v/>
      </c>
      <c r="H370" s="15">
        <f>IF(C370&gt;0.005,C370-F370-G370,0)</f>
        <v/>
      </c>
      <c r="I370" s="13">
        <f>IF(A370="","",INT((353-1)/12)+1)</f>
        <v/>
      </c>
    </row>
    <row r="371">
      <c r="A371" s="13">
        <f>IF(C371&gt;0.005,354,"")</f>
        <v/>
      </c>
      <c r="B371" s="14">
        <f>IF(A371="","",EDATE($C$7,354-1))</f>
        <v/>
      </c>
      <c r="C371" s="15">
        <f>H370</f>
        <v/>
      </c>
      <c r="D371" s="15">
        <f>IF(C371&gt;0.005,IF(C371+E371-$C$10&lt;1,C371+E371,$C$10),0)</f>
        <v/>
      </c>
      <c r="E371" s="15">
        <f>IF(C371&gt;0.005,C371*$C$5/1200,0)</f>
        <v/>
      </c>
      <c r="F371" s="15">
        <f>IF(C371&gt;0.005,D371-E371,0)</f>
        <v/>
      </c>
      <c r="G371" s="15">
        <f>IF(C371&gt;0.005,MIN($C$8,C371-F371),0)</f>
        <v/>
      </c>
      <c r="H371" s="15">
        <f>IF(C371&gt;0.005,C371-F371-G371,0)</f>
        <v/>
      </c>
      <c r="I371" s="13">
        <f>IF(A371="","",INT((354-1)/12)+1)</f>
        <v/>
      </c>
    </row>
    <row r="372">
      <c r="A372" s="13">
        <f>IF(C372&gt;0.005,355,"")</f>
        <v/>
      </c>
      <c r="B372" s="14">
        <f>IF(A372="","",EDATE($C$7,355-1))</f>
        <v/>
      </c>
      <c r="C372" s="15">
        <f>H371</f>
        <v/>
      </c>
      <c r="D372" s="15">
        <f>IF(C372&gt;0.005,IF(C372+E372-$C$10&lt;1,C372+E372,$C$10),0)</f>
        <v/>
      </c>
      <c r="E372" s="15">
        <f>IF(C372&gt;0.005,C372*$C$5/1200,0)</f>
        <v/>
      </c>
      <c r="F372" s="15">
        <f>IF(C372&gt;0.005,D372-E372,0)</f>
        <v/>
      </c>
      <c r="G372" s="15">
        <f>IF(C372&gt;0.005,MIN($C$8,C372-F372),0)</f>
        <v/>
      </c>
      <c r="H372" s="15">
        <f>IF(C372&gt;0.005,C372-F372-G372,0)</f>
        <v/>
      </c>
      <c r="I372" s="13">
        <f>IF(A372="","",INT((355-1)/12)+1)</f>
        <v/>
      </c>
    </row>
    <row r="373">
      <c r="A373" s="13">
        <f>IF(C373&gt;0.005,356,"")</f>
        <v/>
      </c>
      <c r="B373" s="14">
        <f>IF(A373="","",EDATE($C$7,356-1))</f>
        <v/>
      </c>
      <c r="C373" s="15">
        <f>H372</f>
        <v/>
      </c>
      <c r="D373" s="15">
        <f>IF(C373&gt;0.005,IF(C373+E373-$C$10&lt;1,C373+E373,$C$10),0)</f>
        <v/>
      </c>
      <c r="E373" s="15">
        <f>IF(C373&gt;0.005,C373*$C$5/1200,0)</f>
        <v/>
      </c>
      <c r="F373" s="15">
        <f>IF(C373&gt;0.005,D373-E373,0)</f>
        <v/>
      </c>
      <c r="G373" s="15">
        <f>IF(C373&gt;0.005,MIN($C$8,C373-F373),0)</f>
        <v/>
      </c>
      <c r="H373" s="15">
        <f>IF(C373&gt;0.005,C373-F373-G373,0)</f>
        <v/>
      </c>
      <c r="I373" s="13">
        <f>IF(A373="","",INT((356-1)/12)+1)</f>
        <v/>
      </c>
    </row>
    <row r="374">
      <c r="A374" s="13">
        <f>IF(C374&gt;0.005,357,"")</f>
        <v/>
      </c>
      <c r="B374" s="14">
        <f>IF(A374="","",EDATE($C$7,357-1))</f>
        <v/>
      </c>
      <c r="C374" s="15">
        <f>H373</f>
        <v/>
      </c>
      <c r="D374" s="15">
        <f>IF(C374&gt;0.005,IF(C374+E374-$C$10&lt;1,C374+E374,$C$10),0)</f>
        <v/>
      </c>
      <c r="E374" s="15">
        <f>IF(C374&gt;0.005,C374*$C$5/1200,0)</f>
        <v/>
      </c>
      <c r="F374" s="15">
        <f>IF(C374&gt;0.005,D374-E374,0)</f>
        <v/>
      </c>
      <c r="G374" s="15">
        <f>IF(C374&gt;0.005,MIN($C$8,C374-F374),0)</f>
        <v/>
      </c>
      <c r="H374" s="15">
        <f>IF(C374&gt;0.005,C374-F374-G374,0)</f>
        <v/>
      </c>
      <c r="I374" s="13">
        <f>IF(A374="","",INT((357-1)/12)+1)</f>
        <v/>
      </c>
    </row>
    <row r="375">
      <c r="A375" s="13">
        <f>IF(C375&gt;0.005,358,"")</f>
        <v/>
      </c>
      <c r="B375" s="14">
        <f>IF(A375="","",EDATE($C$7,358-1))</f>
        <v/>
      </c>
      <c r="C375" s="15">
        <f>H374</f>
        <v/>
      </c>
      <c r="D375" s="15">
        <f>IF(C375&gt;0.005,IF(C375+E375-$C$10&lt;1,C375+E375,$C$10),0)</f>
        <v/>
      </c>
      <c r="E375" s="15">
        <f>IF(C375&gt;0.005,C375*$C$5/1200,0)</f>
        <v/>
      </c>
      <c r="F375" s="15">
        <f>IF(C375&gt;0.005,D375-E375,0)</f>
        <v/>
      </c>
      <c r="G375" s="15">
        <f>IF(C375&gt;0.005,MIN($C$8,C375-F375),0)</f>
        <v/>
      </c>
      <c r="H375" s="15">
        <f>IF(C375&gt;0.005,C375-F375-G375,0)</f>
        <v/>
      </c>
      <c r="I375" s="13">
        <f>IF(A375="","",INT((358-1)/12)+1)</f>
        <v/>
      </c>
    </row>
    <row r="376">
      <c r="A376" s="13">
        <f>IF(C376&gt;0.005,359,"")</f>
        <v/>
      </c>
      <c r="B376" s="14">
        <f>IF(A376="","",EDATE($C$7,359-1))</f>
        <v/>
      </c>
      <c r="C376" s="15">
        <f>H375</f>
        <v/>
      </c>
      <c r="D376" s="15">
        <f>IF(C376&gt;0.005,IF(C376+E376-$C$10&lt;1,C376+E376,$C$10),0)</f>
        <v/>
      </c>
      <c r="E376" s="15">
        <f>IF(C376&gt;0.005,C376*$C$5/1200,0)</f>
        <v/>
      </c>
      <c r="F376" s="15">
        <f>IF(C376&gt;0.005,D376-E376,0)</f>
        <v/>
      </c>
      <c r="G376" s="15">
        <f>IF(C376&gt;0.005,MIN($C$8,C376-F376),0)</f>
        <v/>
      </c>
      <c r="H376" s="15">
        <f>IF(C376&gt;0.005,C376-F376-G376,0)</f>
        <v/>
      </c>
      <c r="I376" s="13">
        <f>IF(A376="","",INT((359-1)/12)+1)</f>
        <v/>
      </c>
    </row>
    <row r="377">
      <c r="A377" s="13">
        <f>IF(C377&gt;0.005,360,"")</f>
        <v/>
      </c>
      <c r="B377" s="14">
        <f>IF(A377="","",EDATE($C$7,360-1))</f>
        <v/>
      </c>
      <c r="C377" s="15">
        <f>H376</f>
        <v/>
      </c>
      <c r="D377" s="15">
        <f>IF(C377&gt;0.005,IF(C377+E377-$C$10&lt;1,C377+E377,$C$10),0)</f>
        <v/>
      </c>
      <c r="E377" s="15">
        <f>IF(C377&gt;0.005,C377*$C$5/1200,0)</f>
        <v/>
      </c>
      <c r="F377" s="15">
        <f>IF(C377&gt;0.005,D377-E377,0)</f>
        <v/>
      </c>
      <c r="G377" s="15">
        <f>IF(C377&gt;0.005,MIN($C$8,C377-F377),0)</f>
        <v/>
      </c>
      <c r="H377" s="15">
        <f>IF(C377&gt;0.005,C377-F377-G377,0)</f>
        <v/>
      </c>
      <c r="I377" s="13">
        <f>IF(A377="","",INT((360-1)/12)+1)</f>
        <v/>
      </c>
    </row>
    <row r="378">
      <c r="A378" s="13">
        <f>IF(C378&gt;0.005,361,"")</f>
        <v/>
      </c>
      <c r="B378" s="14">
        <f>IF(A378="","",EDATE($C$7,361-1))</f>
        <v/>
      </c>
      <c r="C378" s="15">
        <f>H377</f>
        <v/>
      </c>
      <c r="D378" s="15">
        <f>IF(C378&gt;0.005,IF(C378+E378-$C$10&lt;1,C378+E378,$C$10),0)</f>
        <v/>
      </c>
      <c r="E378" s="15">
        <f>IF(C378&gt;0.005,C378*$C$5/1200,0)</f>
        <v/>
      </c>
      <c r="F378" s="15">
        <f>IF(C378&gt;0.005,D378-E378,0)</f>
        <v/>
      </c>
      <c r="G378" s="15">
        <f>IF(C378&gt;0.005,MIN($C$8,C378-F378),0)</f>
        <v/>
      </c>
      <c r="H378" s="15">
        <f>IF(C378&gt;0.005,C378-F378-G378,0)</f>
        <v/>
      </c>
      <c r="I378" s="13">
        <f>IF(A378="","",INT((361-1)/12)+1)</f>
        <v/>
      </c>
    </row>
    <row r="379">
      <c r="A379" s="13">
        <f>IF(C379&gt;0.005,362,"")</f>
        <v/>
      </c>
      <c r="B379" s="14">
        <f>IF(A379="","",EDATE($C$7,362-1))</f>
        <v/>
      </c>
      <c r="C379" s="15">
        <f>H378</f>
        <v/>
      </c>
      <c r="D379" s="15">
        <f>IF(C379&gt;0.005,IF(C379+E379-$C$10&lt;1,C379+E379,$C$10),0)</f>
        <v/>
      </c>
      <c r="E379" s="15">
        <f>IF(C379&gt;0.005,C379*$C$5/1200,0)</f>
        <v/>
      </c>
      <c r="F379" s="15">
        <f>IF(C379&gt;0.005,D379-E379,0)</f>
        <v/>
      </c>
      <c r="G379" s="15">
        <f>IF(C379&gt;0.005,MIN($C$8,C379-F379),0)</f>
        <v/>
      </c>
      <c r="H379" s="15">
        <f>IF(C379&gt;0.005,C379-F379-G379,0)</f>
        <v/>
      </c>
      <c r="I379" s="13">
        <f>IF(A379="","",INT((362-1)/12)+1)</f>
        <v/>
      </c>
    </row>
    <row r="380">
      <c r="A380" s="13">
        <f>IF(C380&gt;0.005,363,"")</f>
        <v/>
      </c>
      <c r="B380" s="14">
        <f>IF(A380="","",EDATE($C$7,363-1))</f>
        <v/>
      </c>
      <c r="C380" s="15">
        <f>H379</f>
        <v/>
      </c>
      <c r="D380" s="15">
        <f>IF(C380&gt;0.005,IF(C380+E380-$C$10&lt;1,C380+E380,$C$10),0)</f>
        <v/>
      </c>
      <c r="E380" s="15">
        <f>IF(C380&gt;0.005,C380*$C$5/1200,0)</f>
        <v/>
      </c>
      <c r="F380" s="15">
        <f>IF(C380&gt;0.005,D380-E380,0)</f>
        <v/>
      </c>
      <c r="G380" s="15">
        <f>IF(C380&gt;0.005,MIN($C$8,C380-F380),0)</f>
        <v/>
      </c>
      <c r="H380" s="15">
        <f>IF(C380&gt;0.005,C380-F380-G380,0)</f>
        <v/>
      </c>
      <c r="I380" s="13">
        <f>IF(A380="","",INT((363-1)/12)+1)</f>
        <v/>
      </c>
    </row>
    <row r="381">
      <c r="A381" s="13">
        <f>IF(C381&gt;0.005,364,"")</f>
        <v/>
      </c>
      <c r="B381" s="14">
        <f>IF(A381="","",EDATE($C$7,364-1))</f>
        <v/>
      </c>
      <c r="C381" s="15">
        <f>H380</f>
        <v/>
      </c>
      <c r="D381" s="15">
        <f>IF(C381&gt;0.005,IF(C381+E381-$C$10&lt;1,C381+E381,$C$10),0)</f>
        <v/>
      </c>
      <c r="E381" s="15">
        <f>IF(C381&gt;0.005,C381*$C$5/1200,0)</f>
        <v/>
      </c>
      <c r="F381" s="15">
        <f>IF(C381&gt;0.005,D381-E381,0)</f>
        <v/>
      </c>
      <c r="G381" s="15">
        <f>IF(C381&gt;0.005,MIN($C$8,C381-F381),0)</f>
        <v/>
      </c>
      <c r="H381" s="15">
        <f>IF(C381&gt;0.005,C381-F381-G381,0)</f>
        <v/>
      </c>
      <c r="I381" s="13">
        <f>IF(A381="","",INT((364-1)/12)+1)</f>
        <v/>
      </c>
    </row>
    <row r="382">
      <c r="A382" s="13">
        <f>IF(C382&gt;0.005,365,"")</f>
        <v/>
      </c>
      <c r="B382" s="14">
        <f>IF(A382="","",EDATE($C$7,365-1))</f>
        <v/>
      </c>
      <c r="C382" s="15">
        <f>H381</f>
        <v/>
      </c>
      <c r="D382" s="15">
        <f>IF(C382&gt;0.005,IF(C382+E382-$C$10&lt;1,C382+E382,$C$10),0)</f>
        <v/>
      </c>
      <c r="E382" s="15">
        <f>IF(C382&gt;0.005,C382*$C$5/1200,0)</f>
        <v/>
      </c>
      <c r="F382" s="15">
        <f>IF(C382&gt;0.005,D382-E382,0)</f>
        <v/>
      </c>
      <c r="G382" s="15">
        <f>IF(C382&gt;0.005,MIN($C$8,C382-F382),0)</f>
        <v/>
      </c>
      <c r="H382" s="15">
        <f>IF(C382&gt;0.005,C382-F382-G382,0)</f>
        <v/>
      </c>
      <c r="I382" s="13">
        <f>IF(A382="","",INT((365-1)/12)+1)</f>
        <v/>
      </c>
    </row>
    <row r="383">
      <c r="A383" s="13">
        <f>IF(C383&gt;0.005,366,"")</f>
        <v/>
      </c>
      <c r="B383" s="14">
        <f>IF(A383="","",EDATE($C$7,366-1))</f>
        <v/>
      </c>
      <c r="C383" s="15">
        <f>H382</f>
        <v/>
      </c>
      <c r="D383" s="15">
        <f>IF(C383&gt;0.005,IF(C383+E383-$C$10&lt;1,C383+E383,$C$10),0)</f>
        <v/>
      </c>
      <c r="E383" s="15">
        <f>IF(C383&gt;0.005,C383*$C$5/1200,0)</f>
        <v/>
      </c>
      <c r="F383" s="15">
        <f>IF(C383&gt;0.005,D383-E383,0)</f>
        <v/>
      </c>
      <c r="G383" s="15">
        <f>IF(C383&gt;0.005,MIN($C$8,C383-F383),0)</f>
        <v/>
      </c>
      <c r="H383" s="15">
        <f>IF(C383&gt;0.005,C383-F383-G383,0)</f>
        <v/>
      </c>
      <c r="I383" s="13">
        <f>IF(A383="","",INT((366-1)/12)+1)</f>
        <v/>
      </c>
    </row>
    <row r="384">
      <c r="A384" s="13">
        <f>IF(C384&gt;0.005,367,"")</f>
        <v/>
      </c>
      <c r="B384" s="14">
        <f>IF(A384="","",EDATE($C$7,367-1))</f>
        <v/>
      </c>
      <c r="C384" s="15">
        <f>H383</f>
        <v/>
      </c>
      <c r="D384" s="15">
        <f>IF(C384&gt;0.005,IF(C384+E384-$C$10&lt;1,C384+E384,$C$10),0)</f>
        <v/>
      </c>
      <c r="E384" s="15">
        <f>IF(C384&gt;0.005,C384*$C$5/1200,0)</f>
        <v/>
      </c>
      <c r="F384" s="15">
        <f>IF(C384&gt;0.005,D384-E384,0)</f>
        <v/>
      </c>
      <c r="G384" s="15">
        <f>IF(C384&gt;0.005,MIN($C$8,C384-F384),0)</f>
        <v/>
      </c>
      <c r="H384" s="15">
        <f>IF(C384&gt;0.005,C384-F384-G384,0)</f>
        <v/>
      </c>
      <c r="I384" s="13">
        <f>IF(A384="","",INT((367-1)/12)+1)</f>
        <v/>
      </c>
    </row>
    <row r="385">
      <c r="A385" s="13">
        <f>IF(C385&gt;0.005,368,"")</f>
        <v/>
      </c>
      <c r="B385" s="14">
        <f>IF(A385="","",EDATE($C$7,368-1))</f>
        <v/>
      </c>
      <c r="C385" s="15">
        <f>H384</f>
        <v/>
      </c>
      <c r="D385" s="15">
        <f>IF(C385&gt;0.005,IF(C385+E385-$C$10&lt;1,C385+E385,$C$10),0)</f>
        <v/>
      </c>
      <c r="E385" s="15">
        <f>IF(C385&gt;0.005,C385*$C$5/1200,0)</f>
        <v/>
      </c>
      <c r="F385" s="15">
        <f>IF(C385&gt;0.005,D385-E385,0)</f>
        <v/>
      </c>
      <c r="G385" s="15">
        <f>IF(C385&gt;0.005,MIN($C$8,C385-F385),0)</f>
        <v/>
      </c>
      <c r="H385" s="15">
        <f>IF(C385&gt;0.005,C385-F385-G385,0)</f>
        <v/>
      </c>
      <c r="I385" s="13">
        <f>IF(A385="","",INT((368-1)/12)+1)</f>
        <v/>
      </c>
    </row>
    <row r="386">
      <c r="A386" s="13">
        <f>IF(C386&gt;0.005,369,"")</f>
        <v/>
      </c>
      <c r="B386" s="14">
        <f>IF(A386="","",EDATE($C$7,369-1))</f>
        <v/>
      </c>
      <c r="C386" s="15">
        <f>H385</f>
        <v/>
      </c>
      <c r="D386" s="15">
        <f>IF(C386&gt;0.005,IF(C386+E386-$C$10&lt;1,C386+E386,$C$10),0)</f>
        <v/>
      </c>
      <c r="E386" s="15">
        <f>IF(C386&gt;0.005,C386*$C$5/1200,0)</f>
        <v/>
      </c>
      <c r="F386" s="15">
        <f>IF(C386&gt;0.005,D386-E386,0)</f>
        <v/>
      </c>
      <c r="G386" s="15">
        <f>IF(C386&gt;0.005,MIN($C$8,C386-F386),0)</f>
        <v/>
      </c>
      <c r="H386" s="15">
        <f>IF(C386&gt;0.005,C386-F386-G386,0)</f>
        <v/>
      </c>
      <c r="I386" s="13">
        <f>IF(A386="","",INT((369-1)/12)+1)</f>
        <v/>
      </c>
    </row>
    <row r="387">
      <c r="A387" s="13">
        <f>IF(C387&gt;0.005,370,"")</f>
        <v/>
      </c>
      <c r="B387" s="14">
        <f>IF(A387="","",EDATE($C$7,370-1))</f>
        <v/>
      </c>
      <c r="C387" s="15">
        <f>H386</f>
        <v/>
      </c>
      <c r="D387" s="15">
        <f>IF(C387&gt;0.005,IF(C387+E387-$C$10&lt;1,C387+E387,$C$10),0)</f>
        <v/>
      </c>
      <c r="E387" s="15">
        <f>IF(C387&gt;0.005,C387*$C$5/1200,0)</f>
        <v/>
      </c>
      <c r="F387" s="15">
        <f>IF(C387&gt;0.005,D387-E387,0)</f>
        <v/>
      </c>
      <c r="G387" s="15">
        <f>IF(C387&gt;0.005,MIN($C$8,C387-F387),0)</f>
        <v/>
      </c>
      <c r="H387" s="15">
        <f>IF(C387&gt;0.005,C387-F387-G387,0)</f>
        <v/>
      </c>
      <c r="I387" s="13">
        <f>IF(A387="","",INT((370-1)/12)+1)</f>
        <v/>
      </c>
    </row>
    <row r="388">
      <c r="A388" s="13">
        <f>IF(C388&gt;0.005,371,"")</f>
        <v/>
      </c>
      <c r="B388" s="14">
        <f>IF(A388="","",EDATE($C$7,371-1))</f>
        <v/>
      </c>
      <c r="C388" s="15">
        <f>H387</f>
        <v/>
      </c>
      <c r="D388" s="15">
        <f>IF(C388&gt;0.005,IF(C388+E388-$C$10&lt;1,C388+E388,$C$10),0)</f>
        <v/>
      </c>
      <c r="E388" s="15">
        <f>IF(C388&gt;0.005,C388*$C$5/1200,0)</f>
        <v/>
      </c>
      <c r="F388" s="15">
        <f>IF(C388&gt;0.005,D388-E388,0)</f>
        <v/>
      </c>
      <c r="G388" s="15">
        <f>IF(C388&gt;0.005,MIN($C$8,C388-F388),0)</f>
        <v/>
      </c>
      <c r="H388" s="15">
        <f>IF(C388&gt;0.005,C388-F388-G388,0)</f>
        <v/>
      </c>
      <c r="I388" s="13">
        <f>IF(A388="","",INT((371-1)/12)+1)</f>
        <v/>
      </c>
    </row>
    <row r="389">
      <c r="A389" s="13">
        <f>IF(C389&gt;0.005,372,"")</f>
        <v/>
      </c>
      <c r="B389" s="14">
        <f>IF(A389="","",EDATE($C$7,372-1))</f>
        <v/>
      </c>
      <c r="C389" s="15">
        <f>H388</f>
        <v/>
      </c>
      <c r="D389" s="15">
        <f>IF(C389&gt;0.005,IF(C389+E389-$C$10&lt;1,C389+E389,$C$10),0)</f>
        <v/>
      </c>
      <c r="E389" s="15">
        <f>IF(C389&gt;0.005,C389*$C$5/1200,0)</f>
        <v/>
      </c>
      <c r="F389" s="15">
        <f>IF(C389&gt;0.005,D389-E389,0)</f>
        <v/>
      </c>
      <c r="G389" s="15">
        <f>IF(C389&gt;0.005,MIN($C$8,C389-F389),0)</f>
        <v/>
      </c>
      <c r="H389" s="15">
        <f>IF(C389&gt;0.005,C389-F389-G389,0)</f>
        <v/>
      </c>
      <c r="I389" s="13">
        <f>IF(A389="","",INT((372-1)/12)+1)</f>
        <v/>
      </c>
    </row>
    <row r="390">
      <c r="A390" s="13">
        <f>IF(C390&gt;0.005,373,"")</f>
        <v/>
      </c>
      <c r="B390" s="14">
        <f>IF(A390="","",EDATE($C$7,373-1))</f>
        <v/>
      </c>
      <c r="C390" s="15">
        <f>H389</f>
        <v/>
      </c>
      <c r="D390" s="15">
        <f>IF(C390&gt;0.005,IF(C390+E390-$C$10&lt;1,C390+E390,$C$10),0)</f>
        <v/>
      </c>
      <c r="E390" s="15">
        <f>IF(C390&gt;0.005,C390*$C$5/1200,0)</f>
        <v/>
      </c>
      <c r="F390" s="15">
        <f>IF(C390&gt;0.005,D390-E390,0)</f>
        <v/>
      </c>
      <c r="G390" s="15">
        <f>IF(C390&gt;0.005,MIN($C$8,C390-F390),0)</f>
        <v/>
      </c>
      <c r="H390" s="15">
        <f>IF(C390&gt;0.005,C390-F390-G390,0)</f>
        <v/>
      </c>
      <c r="I390" s="13">
        <f>IF(A390="","",INT((373-1)/12)+1)</f>
        <v/>
      </c>
    </row>
    <row r="391">
      <c r="A391" s="13">
        <f>IF(C391&gt;0.005,374,"")</f>
        <v/>
      </c>
      <c r="B391" s="14">
        <f>IF(A391="","",EDATE($C$7,374-1))</f>
        <v/>
      </c>
      <c r="C391" s="15">
        <f>H390</f>
        <v/>
      </c>
      <c r="D391" s="15">
        <f>IF(C391&gt;0.005,IF(C391+E391-$C$10&lt;1,C391+E391,$C$10),0)</f>
        <v/>
      </c>
      <c r="E391" s="15">
        <f>IF(C391&gt;0.005,C391*$C$5/1200,0)</f>
        <v/>
      </c>
      <c r="F391" s="15">
        <f>IF(C391&gt;0.005,D391-E391,0)</f>
        <v/>
      </c>
      <c r="G391" s="15">
        <f>IF(C391&gt;0.005,MIN($C$8,C391-F391),0)</f>
        <v/>
      </c>
      <c r="H391" s="15">
        <f>IF(C391&gt;0.005,C391-F391-G391,0)</f>
        <v/>
      </c>
      <c r="I391" s="13">
        <f>IF(A391="","",INT((374-1)/12)+1)</f>
        <v/>
      </c>
    </row>
    <row r="392">
      <c r="A392" s="13">
        <f>IF(C392&gt;0.005,375,"")</f>
        <v/>
      </c>
      <c r="B392" s="14">
        <f>IF(A392="","",EDATE($C$7,375-1))</f>
        <v/>
      </c>
      <c r="C392" s="15">
        <f>H391</f>
        <v/>
      </c>
      <c r="D392" s="15">
        <f>IF(C392&gt;0.005,IF(C392+E392-$C$10&lt;1,C392+E392,$C$10),0)</f>
        <v/>
      </c>
      <c r="E392" s="15">
        <f>IF(C392&gt;0.005,C392*$C$5/1200,0)</f>
        <v/>
      </c>
      <c r="F392" s="15">
        <f>IF(C392&gt;0.005,D392-E392,0)</f>
        <v/>
      </c>
      <c r="G392" s="15">
        <f>IF(C392&gt;0.005,MIN($C$8,C392-F392),0)</f>
        <v/>
      </c>
      <c r="H392" s="15">
        <f>IF(C392&gt;0.005,C392-F392-G392,0)</f>
        <v/>
      </c>
      <c r="I392" s="13">
        <f>IF(A392="","",INT((375-1)/12)+1)</f>
        <v/>
      </c>
    </row>
    <row r="393">
      <c r="A393" s="13">
        <f>IF(C393&gt;0.005,376,"")</f>
        <v/>
      </c>
      <c r="B393" s="14">
        <f>IF(A393="","",EDATE($C$7,376-1))</f>
        <v/>
      </c>
      <c r="C393" s="15">
        <f>H392</f>
        <v/>
      </c>
      <c r="D393" s="15">
        <f>IF(C393&gt;0.005,IF(C393+E393-$C$10&lt;1,C393+E393,$C$10),0)</f>
        <v/>
      </c>
      <c r="E393" s="15">
        <f>IF(C393&gt;0.005,C393*$C$5/1200,0)</f>
        <v/>
      </c>
      <c r="F393" s="15">
        <f>IF(C393&gt;0.005,D393-E393,0)</f>
        <v/>
      </c>
      <c r="G393" s="15">
        <f>IF(C393&gt;0.005,MIN($C$8,C393-F393),0)</f>
        <v/>
      </c>
      <c r="H393" s="15">
        <f>IF(C393&gt;0.005,C393-F393-G393,0)</f>
        <v/>
      </c>
      <c r="I393" s="13">
        <f>IF(A393="","",INT((376-1)/12)+1)</f>
        <v/>
      </c>
    </row>
    <row r="394">
      <c r="A394" s="13">
        <f>IF(C394&gt;0.005,377,"")</f>
        <v/>
      </c>
      <c r="B394" s="14">
        <f>IF(A394="","",EDATE($C$7,377-1))</f>
        <v/>
      </c>
      <c r="C394" s="15">
        <f>H393</f>
        <v/>
      </c>
      <c r="D394" s="15">
        <f>IF(C394&gt;0.005,IF(C394+E394-$C$10&lt;1,C394+E394,$C$10),0)</f>
        <v/>
      </c>
      <c r="E394" s="15">
        <f>IF(C394&gt;0.005,C394*$C$5/1200,0)</f>
        <v/>
      </c>
      <c r="F394" s="15">
        <f>IF(C394&gt;0.005,D394-E394,0)</f>
        <v/>
      </c>
      <c r="G394" s="15">
        <f>IF(C394&gt;0.005,MIN($C$8,C394-F394),0)</f>
        <v/>
      </c>
      <c r="H394" s="15">
        <f>IF(C394&gt;0.005,C394-F394-G394,0)</f>
        <v/>
      </c>
      <c r="I394" s="13">
        <f>IF(A394="","",INT((377-1)/12)+1)</f>
        <v/>
      </c>
    </row>
    <row r="395">
      <c r="A395" s="13">
        <f>IF(C395&gt;0.005,378,"")</f>
        <v/>
      </c>
      <c r="B395" s="14">
        <f>IF(A395="","",EDATE($C$7,378-1))</f>
        <v/>
      </c>
      <c r="C395" s="15">
        <f>H394</f>
        <v/>
      </c>
      <c r="D395" s="15">
        <f>IF(C395&gt;0.005,IF(C395+E395-$C$10&lt;1,C395+E395,$C$10),0)</f>
        <v/>
      </c>
      <c r="E395" s="15">
        <f>IF(C395&gt;0.005,C395*$C$5/1200,0)</f>
        <v/>
      </c>
      <c r="F395" s="15">
        <f>IF(C395&gt;0.005,D395-E395,0)</f>
        <v/>
      </c>
      <c r="G395" s="15">
        <f>IF(C395&gt;0.005,MIN($C$8,C395-F395),0)</f>
        <v/>
      </c>
      <c r="H395" s="15">
        <f>IF(C395&gt;0.005,C395-F395-G395,0)</f>
        <v/>
      </c>
      <c r="I395" s="13">
        <f>IF(A395="","",INT((378-1)/12)+1)</f>
        <v/>
      </c>
    </row>
    <row r="396">
      <c r="A396" s="13">
        <f>IF(C396&gt;0.005,379,"")</f>
        <v/>
      </c>
      <c r="B396" s="14">
        <f>IF(A396="","",EDATE($C$7,379-1))</f>
        <v/>
      </c>
      <c r="C396" s="15">
        <f>H395</f>
        <v/>
      </c>
      <c r="D396" s="15">
        <f>IF(C396&gt;0.005,IF(C396+E396-$C$10&lt;1,C396+E396,$C$10),0)</f>
        <v/>
      </c>
      <c r="E396" s="15">
        <f>IF(C396&gt;0.005,C396*$C$5/1200,0)</f>
        <v/>
      </c>
      <c r="F396" s="15">
        <f>IF(C396&gt;0.005,D396-E396,0)</f>
        <v/>
      </c>
      <c r="G396" s="15">
        <f>IF(C396&gt;0.005,MIN($C$8,C396-F396),0)</f>
        <v/>
      </c>
      <c r="H396" s="15">
        <f>IF(C396&gt;0.005,C396-F396-G396,0)</f>
        <v/>
      </c>
      <c r="I396" s="13">
        <f>IF(A396="","",INT((379-1)/12)+1)</f>
        <v/>
      </c>
    </row>
    <row r="397">
      <c r="A397" s="13">
        <f>IF(C397&gt;0.005,380,"")</f>
        <v/>
      </c>
      <c r="B397" s="14">
        <f>IF(A397="","",EDATE($C$7,380-1))</f>
        <v/>
      </c>
      <c r="C397" s="15">
        <f>H396</f>
        <v/>
      </c>
      <c r="D397" s="15">
        <f>IF(C397&gt;0.005,IF(C397+E397-$C$10&lt;1,C397+E397,$C$10),0)</f>
        <v/>
      </c>
      <c r="E397" s="15">
        <f>IF(C397&gt;0.005,C397*$C$5/1200,0)</f>
        <v/>
      </c>
      <c r="F397" s="15">
        <f>IF(C397&gt;0.005,D397-E397,0)</f>
        <v/>
      </c>
      <c r="G397" s="15">
        <f>IF(C397&gt;0.005,MIN($C$8,C397-F397),0)</f>
        <v/>
      </c>
      <c r="H397" s="15">
        <f>IF(C397&gt;0.005,C397-F397-G397,0)</f>
        <v/>
      </c>
      <c r="I397" s="13">
        <f>IF(A397="","",INT((380-1)/12)+1)</f>
        <v/>
      </c>
    </row>
    <row r="398">
      <c r="A398" s="13">
        <f>IF(C398&gt;0.005,381,"")</f>
        <v/>
      </c>
      <c r="B398" s="14">
        <f>IF(A398="","",EDATE($C$7,381-1))</f>
        <v/>
      </c>
      <c r="C398" s="15">
        <f>H397</f>
        <v/>
      </c>
      <c r="D398" s="15">
        <f>IF(C398&gt;0.005,IF(C398+E398-$C$10&lt;1,C398+E398,$C$10),0)</f>
        <v/>
      </c>
      <c r="E398" s="15">
        <f>IF(C398&gt;0.005,C398*$C$5/1200,0)</f>
        <v/>
      </c>
      <c r="F398" s="15">
        <f>IF(C398&gt;0.005,D398-E398,0)</f>
        <v/>
      </c>
      <c r="G398" s="15">
        <f>IF(C398&gt;0.005,MIN($C$8,C398-F398),0)</f>
        <v/>
      </c>
      <c r="H398" s="15">
        <f>IF(C398&gt;0.005,C398-F398-G398,0)</f>
        <v/>
      </c>
      <c r="I398" s="13">
        <f>IF(A398="","",INT((381-1)/12)+1)</f>
        <v/>
      </c>
    </row>
    <row r="399">
      <c r="A399" s="13">
        <f>IF(C399&gt;0.005,382,"")</f>
        <v/>
      </c>
      <c r="B399" s="14">
        <f>IF(A399="","",EDATE($C$7,382-1))</f>
        <v/>
      </c>
      <c r="C399" s="15">
        <f>H398</f>
        <v/>
      </c>
      <c r="D399" s="15">
        <f>IF(C399&gt;0.005,IF(C399+E399-$C$10&lt;1,C399+E399,$C$10),0)</f>
        <v/>
      </c>
      <c r="E399" s="15">
        <f>IF(C399&gt;0.005,C399*$C$5/1200,0)</f>
        <v/>
      </c>
      <c r="F399" s="15">
        <f>IF(C399&gt;0.005,D399-E399,0)</f>
        <v/>
      </c>
      <c r="G399" s="15">
        <f>IF(C399&gt;0.005,MIN($C$8,C399-F399),0)</f>
        <v/>
      </c>
      <c r="H399" s="15">
        <f>IF(C399&gt;0.005,C399-F399-G399,0)</f>
        <v/>
      </c>
      <c r="I399" s="13">
        <f>IF(A399="","",INT((382-1)/12)+1)</f>
        <v/>
      </c>
    </row>
    <row r="400">
      <c r="A400" s="13">
        <f>IF(C400&gt;0.005,383,"")</f>
        <v/>
      </c>
      <c r="B400" s="14">
        <f>IF(A400="","",EDATE($C$7,383-1))</f>
        <v/>
      </c>
      <c r="C400" s="15">
        <f>H399</f>
        <v/>
      </c>
      <c r="D400" s="15">
        <f>IF(C400&gt;0.005,IF(C400+E400-$C$10&lt;1,C400+E400,$C$10),0)</f>
        <v/>
      </c>
      <c r="E400" s="15">
        <f>IF(C400&gt;0.005,C400*$C$5/1200,0)</f>
        <v/>
      </c>
      <c r="F400" s="15">
        <f>IF(C400&gt;0.005,D400-E400,0)</f>
        <v/>
      </c>
      <c r="G400" s="15">
        <f>IF(C400&gt;0.005,MIN($C$8,C400-F400),0)</f>
        <v/>
      </c>
      <c r="H400" s="15">
        <f>IF(C400&gt;0.005,C400-F400-G400,0)</f>
        <v/>
      </c>
      <c r="I400" s="13">
        <f>IF(A400="","",INT((383-1)/12)+1)</f>
        <v/>
      </c>
    </row>
    <row r="401">
      <c r="A401" s="13">
        <f>IF(C401&gt;0.005,384,"")</f>
        <v/>
      </c>
      <c r="B401" s="14">
        <f>IF(A401="","",EDATE($C$7,384-1))</f>
        <v/>
      </c>
      <c r="C401" s="15">
        <f>H400</f>
        <v/>
      </c>
      <c r="D401" s="15">
        <f>IF(C401&gt;0.005,IF(C401+E401-$C$10&lt;1,C401+E401,$C$10),0)</f>
        <v/>
      </c>
      <c r="E401" s="15">
        <f>IF(C401&gt;0.005,C401*$C$5/1200,0)</f>
        <v/>
      </c>
      <c r="F401" s="15">
        <f>IF(C401&gt;0.005,D401-E401,0)</f>
        <v/>
      </c>
      <c r="G401" s="15">
        <f>IF(C401&gt;0.005,MIN($C$8,C401-F401),0)</f>
        <v/>
      </c>
      <c r="H401" s="15">
        <f>IF(C401&gt;0.005,C401-F401-G401,0)</f>
        <v/>
      </c>
      <c r="I401" s="13">
        <f>IF(A401="","",INT((384-1)/12)+1)</f>
        <v/>
      </c>
    </row>
    <row r="402">
      <c r="A402" s="13">
        <f>IF(C402&gt;0.005,385,"")</f>
        <v/>
      </c>
      <c r="B402" s="14">
        <f>IF(A402="","",EDATE($C$7,385-1))</f>
        <v/>
      </c>
      <c r="C402" s="15">
        <f>H401</f>
        <v/>
      </c>
      <c r="D402" s="15">
        <f>IF(C402&gt;0.005,IF(C402+E402-$C$10&lt;1,C402+E402,$C$10),0)</f>
        <v/>
      </c>
      <c r="E402" s="15">
        <f>IF(C402&gt;0.005,C402*$C$5/1200,0)</f>
        <v/>
      </c>
      <c r="F402" s="15">
        <f>IF(C402&gt;0.005,D402-E402,0)</f>
        <v/>
      </c>
      <c r="G402" s="15">
        <f>IF(C402&gt;0.005,MIN($C$8,C402-F402),0)</f>
        <v/>
      </c>
      <c r="H402" s="15">
        <f>IF(C402&gt;0.005,C402-F402-G402,0)</f>
        <v/>
      </c>
      <c r="I402" s="13">
        <f>IF(A402="","",INT((385-1)/12)+1)</f>
        <v/>
      </c>
    </row>
    <row r="403">
      <c r="A403" s="13">
        <f>IF(C403&gt;0.005,386,"")</f>
        <v/>
      </c>
      <c r="B403" s="14">
        <f>IF(A403="","",EDATE($C$7,386-1))</f>
        <v/>
      </c>
      <c r="C403" s="15">
        <f>H402</f>
        <v/>
      </c>
      <c r="D403" s="15">
        <f>IF(C403&gt;0.005,IF(C403+E403-$C$10&lt;1,C403+E403,$C$10),0)</f>
        <v/>
      </c>
      <c r="E403" s="15">
        <f>IF(C403&gt;0.005,C403*$C$5/1200,0)</f>
        <v/>
      </c>
      <c r="F403" s="15">
        <f>IF(C403&gt;0.005,D403-E403,0)</f>
        <v/>
      </c>
      <c r="G403" s="15">
        <f>IF(C403&gt;0.005,MIN($C$8,C403-F403),0)</f>
        <v/>
      </c>
      <c r="H403" s="15">
        <f>IF(C403&gt;0.005,C403-F403-G403,0)</f>
        <v/>
      </c>
      <c r="I403" s="13">
        <f>IF(A403="","",INT((386-1)/12)+1)</f>
        <v/>
      </c>
    </row>
    <row r="404">
      <c r="A404" s="13">
        <f>IF(C404&gt;0.005,387,"")</f>
        <v/>
      </c>
      <c r="B404" s="14">
        <f>IF(A404="","",EDATE($C$7,387-1))</f>
        <v/>
      </c>
      <c r="C404" s="15">
        <f>H403</f>
        <v/>
      </c>
      <c r="D404" s="15">
        <f>IF(C404&gt;0.005,IF(C404+E404-$C$10&lt;1,C404+E404,$C$10),0)</f>
        <v/>
      </c>
      <c r="E404" s="15">
        <f>IF(C404&gt;0.005,C404*$C$5/1200,0)</f>
        <v/>
      </c>
      <c r="F404" s="15">
        <f>IF(C404&gt;0.005,D404-E404,0)</f>
        <v/>
      </c>
      <c r="G404" s="15">
        <f>IF(C404&gt;0.005,MIN($C$8,C404-F404),0)</f>
        <v/>
      </c>
      <c r="H404" s="15">
        <f>IF(C404&gt;0.005,C404-F404-G404,0)</f>
        <v/>
      </c>
      <c r="I404" s="13">
        <f>IF(A404="","",INT((387-1)/12)+1)</f>
        <v/>
      </c>
    </row>
    <row r="405">
      <c r="A405" s="13">
        <f>IF(C405&gt;0.005,388,"")</f>
        <v/>
      </c>
      <c r="B405" s="14">
        <f>IF(A405="","",EDATE($C$7,388-1))</f>
        <v/>
      </c>
      <c r="C405" s="15">
        <f>H404</f>
        <v/>
      </c>
      <c r="D405" s="15">
        <f>IF(C405&gt;0.005,IF(C405+E405-$C$10&lt;1,C405+E405,$C$10),0)</f>
        <v/>
      </c>
      <c r="E405" s="15">
        <f>IF(C405&gt;0.005,C405*$C$5/1200,0)</f>
        <v/>
      </c>
      <c r="F405" s="15">
        <f>IF(C405&gt;0.005,D405-E405,0)</f>
        <v/>
      </c>
      <c r="G405" s="15">
        <f>IF(C405&gt;0.005,MIN($C$8,C405-F405),0)</f>
        <v/>
      </c>
      <c r="H405" s="15">
        <f>IF(C405&gt;0.005,C405-F405-G405,0)</f>
        <v/>
      </c>
      <c r="I405" s="13">
        <f>IF(A405="","",INT((388-1)/12)+1)</f>
        <v/>
      </c>
    </row>
    <row r="406">
      <c r="A406" s="13">
        <f>IF(C406&gt;0.005,389,"")</f>
        <v/>
      </c>
      <c r="B406" s="14">
        <f>IF(A406="","",EDATE($C$7,389-1))</f>
        <v/>
      </c>
      <c r="C406" s="15">
        <f>H405</f>
        <v/>
      </c>
      <c r="D406" s="15">
        <f>IF(C406&gt;0.005,IF(C406+E406-$C$10&lt;1,C406+E406,$C$10),0)</f>
        <v/>
      </c>
      <c r="E406" s="15">
        <f>IF(C406&gt;0.005,C406*$C$5/1200,0)</f>
        <v/>
      </c>
      <c r="F406" s="15">
        <f>IF(C406&gt;0.005,D406-E406,0)</f>
        <v/>
      </c>
      <c r="G406" s="15">
        <f>IF(C406&gt;0.005,MIN($C$8,C406-F406),0)</f>
        <v/>
      </c>
      <c r="H406" s="15">
        <f>IF(C406&gt;0.005,C406-F406-G406,0)</f>
        <v/>
      </c>
      <c r="I406" s="13">
        <f>IF(A406="","",INT((389-1)/12)+1)</f>
        <v/>
      </c>
    </row>
    <row r="407">
      <c r="A407" s="13">
        <f>IF(C407&gt;0.005,390,"")</f>
        <v/>
      </c>
      <c r="B407" s="14">
        <f>IF(A407="","",EDATE($C$7,390-1))</f>
        <v/>
      </c>
      <c r="C407" s="15">
        <f>H406</f>
        <v/>
      </c>
      <c r="D407" s="15">
        <f>IF(C407&gt;0.005,IF(C407+E407-$C$10&lt;1,C407+E407,$C$10),0)</f>
        <v/>
      </c>
      <c r="E407" s="15">
        <f>IF(C407&gt;0.005,C407*$C$5/1200,0)</f>
        <v/>
      </c>
      <c r="F407" s="15">
        <f>IF(C407&gt;0.005,D407-E407,0)</f>
        <v/>
      </c>
      <c r="G407" s="15">
        <f>IF(C407&gt;0.005,MIN($C$8,C407-F407),0)</f>
        <v/>
      </c>
      <c r="H407" s="15">
        <f>IF(C407&gt;0.005,C407-F407-G407,0)</f>
        <v/>
      </c>
      <c r="I407" s="13">
        <f>IF(A407="","",INT((390-1)/12)+1)</f>
        <v/>
      </c>
    </row>
    <row r="408">
      <c r="A408" s="13">
        <f>IF(C408&gt;0.005,391,"")</f>
        <v/>
      </c>
      <c r="B408" s="14">
        <f>IF(A408="","",EDATE($C$7,391-1))</f>
        <v/>
      </c>
      <c r="C408" s="15">
        <f>H407</f>
        <v/>
      </c>
      <c r="D408" s="15">
        <f>IF(C408&gt;0.005,IF(C408+E408-$C$10&lt;1,C408+E408,$C$10),0)</f>
        <v/>
      </c>
      <c r="E408" s="15">
        <f>IF(C408&gt;0.005,C408*$C$5/1200,0)</f>
        <v/>
      </c>
      <c r="F408" s="15">
        <f>IF(C408&gt;0.005,D408-E408,0)</f>
        <v/>
      </c>
      <c r="G408" s="15">
        <f>IF(C408&gt;0.005,MIN($C$8,C408-F408),0)</f>
        <v/>
      </c>
      <c r="H408" s="15">
        <f>IF(C408&gt;0.005,C408-F408-G408,0)</f>
        <v/>
      </c>
      <c r="I408" s="13">
        <f>IF(A408="","",INT((391-1)/12)+1)</f>
        <v/>
      </c>
    </row>
    <row r="409">
      <c r="A409" s="13">
        <f>IF(C409&gt;0.005,392,"")</f>
        <v/>
      </c>
      <c r="B409" s="14">
        <f>IF(A409="","",EDATE($C$7,392-1))</f>
        <v/>
      </c>
      <c r="C409" s="15">
        <f>H408</f>
        <v/>
      </c>
      <c r="D409" s="15">
        <f>IF(C409&gt;0.005,IF(C409+E409-$C$10&lt;1,C409+E409,$C$10),0)</f>
        <v/>
      </c>
      <c r="E409" s="15">
        <f>IF(C409&gt;0.005,C409*$C$5/1200,0)</f>
        <v/>
      </c>
      <c r="F409" s="15">
        <f>IF(C409&gt;0.005,D409-E409,0)</f>
        <v/>
      </c>
      <c r="G409" s="15">
        <f>IF(C409&gt;0.005,MIN($C$8,C409-F409),0)</f>
        <v/>
      </c>
      <c r="H409" s="15">
        <f>IF(C409&gt;0.005,C409-F409-G409,0)</f>
        <v/>
      </c>
      <c r="I409" s="13">
        <f>IF(A409="","",INT((392-1)/12)+1)</f>
        <v/>
      </c>
    </row>
    <row r="410">
      <c r="A410" s="13">
        <f>IF(C410&gt;0.005,393,"")</f>
        <v/>
      </c>
      <c r="B410" s="14">
        <f>IF(A410="","",EDATE($C$7,393-1))</f>
        <v/>
      </c>
      <c r="C410" s="15">
        <f>H409</f>
        <v/>
      </c>
      <c r="D410" s="15">
        <f>IF(C410&gt;0.005,IF(C410+E410-$C$10&lt;1,C410+E410,$C$10),0)</f>
        <v/>
      </c>
      <c r="E410" s="15">
        <f>IF(C410&gt;0.005,C410*$C$5/1200,0)</f>
        <v/>
      </c>
      <c r="F410" s="15">
        <f>IF(C410&gt;0.005,D410-E410,0)</f>
        <v/>
      </c>
      <c r="G410" s="15">
        <f>IF(C410&gt;0.005,MIN($C$8,C410-F410),0)</f>
        <v/>
      </c>
      <c r="H410" s="15">
        <f>IF(C410&gt;0.005,C410-F410-G410,0)</f>
        <v/>
      </c>
      <c r="I410" s="13">
        <f>IF(A410="","",INT((393-1)/12)+1)</f>
        <v/>
      </c>
    </row>
    <row r="411">
      <c r="A411" s="13">
        <f>IF(C411&gt;0.005,394,"")</f>
        <v/>
      </c>
      <c r="B411" s="14">
        <f>IF(A411="","",EDATE($C$7,394-1))</f>
        <v/>
      </c>
      <c r="C411" s="15">
        <f>H410</f>
        <v/>
      </c>
      <c r="D411" s="15">
        <f>IF(C411&gt;0.005,IF(C411+E411-$C$10&lt;1,C411+E411,$C$10),0)</f>
        <v/>
      </c>
      <c r="E411" s="15">
        <f>IF(C411&gt;0.005,C411*$C$5/1200,0)</f>
        <v/>
      </c>
      <c r="F411" s="15">
        <f>IF(C411&gt;0.005,D411-E411,0)</f>
        <v/>
      </c>
      <c r="G411" s="15">
        <f>IF(C411&gt;0.005,MIN($C$8,C411-F411),0)</f>
        <v/>
      </c>
      <c r="H411" s="15">
        <f>IF(C411&gt;0.005,C411-F411-G411,0)</f>
        <v/>
      </c>
      <c r="I411" s="13">
        <f>IF(A411="","",INT((394-1)/12)+1)</f>
        <v/>
      </c>
    </row>
    <row r="412">
      <c r="A412" s="13">
        <f>IF(C412&gt;0.005,395,"")</f>
        <v/>
      </c>
      <c r="B412" s="14">
        <f>IF(A412="","",EDATE($C$7,395-1))</f>
        <v/>
      </c>
      <c r="C412" s="15">
        <f>H411</f>
        <v/>
      </c>
      <c r="D412" s="15">
        <f>IF(C412&gt;0.005,IF(C412+E412-$C$10&lt;1,C412+E412,$C$10),0)</f>
        <v/>
      </c>
      <c r="E412" s="15">
        <f>IF(C412&gt;0.005,C412*$C$5/1200,0)</f>
        <v/>
      </c>
      <c r="F412" s="15">
        <f>IF(C412&gt;0.005,D412-E412,0)</f>
        <v/>
      </c>
      <c r="G412" s="15">
        <f>IF(C412&gt;0.005,MIN($C$8,C412-F412),0)</f>
        <v/>
      </c>
      <c r="H412" s="15">
        <f>IF(C412&gt;0.005,C412-F412-G412,0)</f>
        <v/>
      </c>
      <c r="I412" s="13">
        <f>IF(A412="","",INT((395-1)/12)+1)</f>
        <v/>
      </c>
    </row>
    <row r="413">
      <c r="A413" s="13">
        <f>IF(C413&gt;0.005,396,"")</f>
        <v/>
      </c>
      <c r="B413" s="14">
        <f>IF(A413="","",EDATE($C$7,396-1))</f>
        <v/>
      </c>
      <c r="C413" s="15">
        <f>H412</f>
        <v/>
      </c>
      <c r="D413" s="15">
        <f>IF(C413&gt;0.005,IF(C413+E413-$C$10&lt;1,C413+E413,$C$10),0)</f>
        <v/>
      </c>
      <c r="E413" s="15">
        <f>IF(C413&gt;0.005,C413*$C$5/1200,0)</f>
        <v/>
      </c>
      <c r="F413" s="15">
        <f>IF(C413&gt;0.005,D413-E413,0)</f>
        <v/>
      </c>
      <c r="G413" s="15">
        <f>IF(C413&gt;0.005,MIN($C$8,C413-F413),0)</f>
        <v/>
      </c>
      <c r="H413" s="15">
        <f>IF(C413&gt;0.005,C413-F413-G413,0)</f>
        <v/>
      </c>
      <c r="I413" s="13">
        <f>IF(A413="","",INT((396-1)/12)+1)</f>
        <v/>
      </c>
    </row>
    <row r="414">
      <c r="A414" s="13">
        <f>IF(C414&gt;0.005,397,"")</f>
        <v/>
      </c>
      <c r="B414" s="14">
        <f>IF(A414="","",EDATE($C$7,397-1))</f>
        <v/>
      </c>
      <c r="C414" s="15">
        <f>H413</f>
        <v/>
      </c>
      <c r="D414" s="15">
        <f>IF(C414&gt;0.005,IF(C414+E414-$C$10&lt;1,C414+E414,$C$10),0)</f>
        <v/>
      </c>
      <c r="E414" s="15">
        <f>IF(C414&gt;0.005,C414*$C$5/1200,0)</f>
        <v/>
      </c>
      <c r="F414" s="15">
        <f>IF(C414&gt;0.005,D414-E414,0)</f>
        <v/>
      </c>
      <c r="G414" s="15">
        <f>IF(C414&gt;0.005,MIN($C$8,C414-F414),0)</f>
        <v/>
      </c>
      <c r="H414" s="15">
        <f>IF(C414&gt;0.005,C414-F414-G414,0)</f>
        <v/>
      </c>
      <c r="I414" s="13">
        <f>IF(A414="","",INT((397-1)/12)+1)</f>
        <v/>
      </c>
    </row>
    <row r="415">
      <c r="A415" s="13">
        <f>IF(C415&gt;0.005,398,"")</f>
        <v/>
      </c>
      <c r="B415" s="14">
        <f>IF(A415="","",EDATE($C$7,398-1))</f>
        <v/>
      </c>
      <c r="C415" s="15">
        <f>H414</f>
        <v/>
      </c>
      <c r="D415" s="15">
        <f>IF(C415&gt;0.005,IF(C415+E415-$C$10&lt;1,C415+E415,$C$10),0)</f>
        <v/>
      </c>
      <c r="E415" s="15">
        <f>IF(C415&gt;0.005,C415*$C$5/1200,0)</f>
        <v/>
      </c>
      <c r="F415" s="15">
        <f>IF(C415&gt;0.005,D415-E415,0)</f>
        <v/>
      </c>
      <c r="G415" s="15">
        <f>IF(C415&gt;0.005,MIN($C$8,C415-F415),0)</f>
        <v/>
      </c>
      <c r="H415" s="15">
        <f>IF(C415&gt;0.005,C415-F415-G415,0)</f>
        <v/>
      </c>
      <c r="I415" s="13">
        <f>IF(A415="","",INT((398-1)/12)+1)</f>
        <v/>
      </c>
    </row>
    <row r="416">
      <c r="A416" s="13">
        <f>IF(C416&gt;0.005,399,"")</f>
        <v/>
      </c>
      <c r="B416" s="14">
        <f>IF(A416="","",EDATE($C$7,399-1))</f>
        <v/>
      </c>
      <c r="C416" s="15">
        <f>H415</f>
        <v/>
      </c>
      <c r="D416" s="15">
        <f>IF(C416&gt;0.005,IF(C416+E416-$C$10&lt;1,C416+E416,$C$10),0)</f>
        <v/>
      </c>
      <c r="E416" s="15">
        <f>IF(C416&gt;0.005,C416*$C$5/1200,0)</f>
        <v/>
      </c>
      <c r="F416" s="15">
        <f>IF(C416&gt;0.005,D416-E416,0)</f>
        <v/>
      </c>
      <c r="G416" s="15">
        <f>IF(C416&gt;0.005,MIN($C$8,C416-F416),0)</f>
        <v/>
      </c>
      <c r="H416" s="15">
        <f>IF(C416&gt;0.005,C416-F416-G416,0)</f>
        <v/>
      </c>
      <c r="I416" s="13">
        <f>IF(A416="","",INT((399-1)/12)+1)</f>
        <v/>
      </c>
    </row>
    <row r="417">
      <c r="A417" s="13">
        <f>IF(C417&gt;0.005,400,"")</f>
        <v/>
      </c>
      <c r="B417" s="14">
        <f>IF(A417="","",EDATE($C$7,400-1))</f>
        <v/>
      </c>
      <c r="C417" s="15">
        <f>H416</f>
        <v/>
      </c>
      <c r="D417" s="15">
        <f>IF(C417&gt;0.005,IF(C417+E417-$C$10&lt;1,C417+E417,$C$10),0)</f>
        <v/>
      </c>
      <c r="E417" s="15">
        <f>IF(C417&gt;0.005,C417*$C$5/1200,0)</f>
        <v/>
      </c>
      <c r="F417" s="15">
        <f>IF(C417&gt;0.005,D417-E417,0)</f>
        <v/>
      </c>
      <c r="G417" s="15">
        <f>IF(C417&gt;0.005,MIN($C$8,C417-F417),0)</f>
        <v/>
      </c>
      <c r="H417" s="15">
        <f>IF(C417&gt;0.005,C417-F417-G417,0)</f>
        <v/>
      </c>
      <c r="I417" s="13">
        <f>IF(A417="","",INT((400-1)/12)+1)</f>
        <v/>
      </c>
    </row>
    <row r="418">
      <c r="A418" s="13">
        <f>IF(C418&gt;0.005,401,"")</f>
        <v/>
      </c>
      <c r="B418" s="14">
        <f>IF(A418="","",EDATE($C$7,401-1))</f>
        <v/>
      </c>
      <c r="C418" s="15">
        <f>H417</f>
        <v/>
      </c>
      <c r="D418" s="15">
        <f>IF(C418&gt;0.005,IF(C418+E418-$C$10&lt;1,C418+E418,$C$10),0)</f>
        <v/>
      </c>
      <c r="E418" s="15">
        <f>IF(C418&gt;0.005,C418*$C$5/1200,0)</f>
        <v/>
      </c>
      <c r="F418" s="15">
        <f>IF(C418&gt;0.005,D418-E418,0)</f>
        <v/>
      </c>
      <c r="G418" s="15">
        <f>IF(C418&gt;0.005,MIN($C$8,C418-F418),0)</f>
        <v/>
      </c>
      <c r="H418" s="15">
        <f>IF(C418&gt;0.005,C418-F418-G418,0)</f>
        <v/>
      </c>
      <c r="I418" s="13">
        <f>IF(A418="","",INT((401-1)/12)+1)</f>
        <v/>
      </c>
    </row>
    <row r="419">
      <c r="A419" s="13">
        <f>IF(C419&gt;0.005,402,"")</f>
        <v/>
      </c>
      <c r="B419" s="14">
        <f>IF(A419="","",EDATE($C$7,402-1))</f>
        <v/>
      </c>
      <c r="C419" s="15">
        <f>H418</f>
        <v/>
      </c>
      <c r="D419" s="15">
        <f>IF(C419&gt;0.005,IF(C419+E419-$C$10&lt;1,C419+E419,$C$10),0)</f>
        <v/>
      </c>
      <c r="E419" s="15">
        <f>IF(C419&gt;0.005,C419*$C$5/1200,0)</f>
        <v/>
      </c>
      <c r="F419" s="15">
        <f>IF(C419&gt;0.005,D419-E419,0)</f>
        <v/>
      </c>
      <c r="G419" s="15">
        <f>IF(C419&gt;0.005,MIN($C$8,C419-F419),0)</f>
        <v/>
      </c>
      <c r="H419" s="15">
        <f>IF(C419&gt;0.005,C419-F419-G419,0)</f>
        <v/>
      </c>
      <c r="I419" s="13">
        <f>IF(A419="","",INT((402-1)/12)+1)</f>
        <v/>
      </c>
    </row>
    <row r="420">
      <c r="A420" s="13">
        <f>IF(C420&gt;0.005,403,"")</f>
        <v/>
      </c>
      <c r="B420" s="14">
        <f>IF(A420="","",EDATE($C$7,403-1))</f>
        <v/>
      </c>
      <c r="C420" s="15">
        <f>H419</f>
        <v/>
      </c>
      <c r="D420" s="15">
        <f>IF(C420&gt;0.005,IF(C420+E420-$C$10&lt;1,C420+E420,$C$10),0)</f>
        <v/>
      </c>
      <c r="E420" s="15">
        <f>IF(C420&gt;0.005,C420*$C$5/1200,0)</f>
        <v/>
      </c>
      <c r="F420" s="15">
        <f>IF(C420&gt;0.005,D420-E420,0)</f>
        <v/>
      </c>
      <c r="G420" s="15">
        <f>IF(C420&gt;0.005,MIN($C$8,C420-F420),0)</f>
        <v/>
      </c>
      <c r="H420" s="15">
        <f>IF(C420&gt;0.005,C420-F420-G420,0)</f>
        <v/>
      </c>
      <c r="I420" s="13">
        <f>IF(A420="","",INT((403-1)/12)+1)</f>
        <v/>
      </c>
    </row>
    <row r="421">
      <c r="A421" s="13">
        <f>IF(C421&gt;0.005,404,"")</f>
        <v/>
      </c>
      <c r="B421" s="14">
        <f>IF(A421="","",EDATE($C$7,404-1))</f>
        <v/>
      </c>
      <c r="C421" s="15">
        <f>H420</f>
        <v/>
      </c>
      <c r="D421" s="15">
        <f>IF(C421&gt;0.005,IF(C421+E421-$C$10&lt;1,C421+E421,$C$10),0)</f>
        <v/>
      </c>
      <c r="E421" s="15">
        <f>IF(C421&gt;0.005,C421*$C$5/1200,0)</f>
        <v/>
      </c>
      <c r="F421" s="15">
        <f>IF(C421&gt;0.005,D421-E421,0)</f>
        <v/>
      </c>
      <c r="G421" s="15">
        <f>IF(C421&gt;0.005,MIN($C$8,C421-F421),0)</f>
        <v/>
      </c>
      <c r="H421" s="15">
        <f>IF(C421&gt;0.005,C421-F421-G421,0)</f>
        <v/>
      </c>
      <c r="I421" s="13">
        <f>IF(A421="","",INT((404-1)/12)+1)</f>
        <v/>
      </c>
    </row>
    <row r="422">
      <c r="A422" s="13">
        <f>IF(C422&gt;0.005,405,"")</f>
        <v/>
      </c>
      <c r="B422" s="14">
        <f>IF(A422="","",EDATE($C$7,405-1))</f>
        <v/>
      </c>
      <c r="C422" s="15">
        <f>H421</f>
        <v/>
      </c>
      <c r="D422" s="15">
        <f>IF(C422&gt;0.005,IF(C422+E422-$C$10&lt;1,C422+E422,$C$10),0)</f>
        <v/>
      </c>
      <c r="E422" s="15">
        <f>IF(C422&gt;0.005,C422*$C$5/1200,0)</f>
        <v/>
      </c>
      <c r="F422" s="15">
        <f>IF(C422&gt;0.005,D422-E422,0)</f>
        <v/>
      </c>
      <c r="G422" s="15">
        <f>IF(C422&gt;0.005,MIN($C$8,C422-F422),0)</f>
        <v/>
      </c>
      <c r="H422" s="15">
        <f>IF(C422&gt;0.005,C422-F422-G422,0)</f>
        <v/>
      </c>
      <c r="I422" s="13">
        <f>IF(A422="","",INT((405-1)/12)+1)</f>
        <v/>
      </c>
    </row>
    <row r="423">
      <c r="A423" s="13">
        <f>IF(C423&gt;0.005,406,"")</f>
        <v/>
      </c>
      <c r="B423" s="14">
        <f>IF(A423="","",EDATE($C$7,406-1))</f>
        <v/>
      </c>
      <c r="C423" s="15">
        <f>H422</f>
        <v/>
      </c>
      <c r="D423" s="15">
        <f>IF(C423&gt;0.005,IF(C423+E423-$C$10&lt;1,C423+E423,$C$10),0)</f>
        <v/>
      </c>
      <c r="E423" s="15">
        <f>IF(C423&gt;0.005,C423*$C$5/1200,0)</f>
        <v/>
      </c>
      <c r="F423" s="15">
        <f>IF(C423&gt;0.005,D423-E423,0)</f>
        <v/>
      </c>
      <c r="G423" s="15">
        <f>IF(C423&gt;0.005,MIN($C$8,C423-F423),0)</f>
        <v/>
      </c>
      <c r="H423" s="15">
        <f>IF(C423&gt;0.005,C423-F423-G423,0)</f>
        <v/>
      </c>
      <c r="I423" s="13">
        <f>IF(A423="","",INT((406-1)/12)+1)</f>
        <v/>
      </c>
    </row>
    <row r="424">
      <c r="A424" s="13">
        <f>IF(C424&gt;0.005,407,"")</f>
        <v/>
      </c>
      <c r="B424" s="14">
        <f>IF(A424="","",EDATE($C$7,407-1))</f>
        <v/>
      </c>
      <c r="C424" s="15">
        <f>H423</f>
        <v/>
      </c>
      <c r="D424" s="15">
        <f>IF(C424&gt;0.005,IF(C424+E424-$C$10&lt;1,C424+E424,$C$10),0)</f>
        <v/>
      </c>
      <c r="E424" s="15">
        <f>IF(C424&gt;0.005,C424*$C$5/1200,0)</f>
        <v/>
      </c>
      <c r="F424" s="15">
        <f>IF(C424&gt;0.005,D424-E424,0)</f>
        <v/>
      </c>
      <c r="G424" s="15">
        <f>IF(C424&gt;0.005,MIN($C$8,C424-F424),0)</f>
        <v/>
      </c>
      <c r="H424" s="15">
        <f>IF(C424&gt;0.005,C424-F424-G424,0)</f>
        <v/>
      </c>
      <c r="I424" s="13">
        <f>IF(A424="","",INT((407-1)/12)+1)</f>
        <v/>
      </c>
    </row>
    <row r="425">
      <c r="A425" s="13">
        <f>IF(C425&gt;0.005,408,"")</f>
        <v/>
      </c>
      <c r="B425" s="14">
        <f>IF(A425="","",EDATE($C$7,408-1))</f>
        <v/>
      </c>
      <c r="C425" s="15">
        <f>H424</f>
        <v/>
      </c>
      <c r="D425" s="15">
        <f>IF(C425&gt;0.005,IF(C425+E425-$C$10&lt;1,C425+E425,$C$10),0)</f>
        <v/>
      </c>
      <c r="E425" s="15">
        <f>IF(C425&gt;0.005,C425*$C$5/1200,0)</f>
        <v/>
      </c>
      <c r="F425" s="15">
        <f>IF(C425&gt;0.005,D425-E425,0)</f>
        <v/>
      </c>
      <c r="G425" s="15">
        <f>IF(C425&gt;0.005,MIN($C$8,C425-F425),0)</f>
        <v/>
      </c>
      <c r="H425" s="15">
        <f>IF(C425&gt;0.005,C425-F425-G425,0)</f>
        <v/>
      </c>
      <c r="I425" s="13">
        <f>IF(A425="","",INT((408-1)/12)+1)</f>
        <v/>
      </c>
    </row>
    <row r="426">
      <c r="A426" s="13">
        <f>IF(C426&gt;0.005,409,"")</f>
        <v/>
      </c>
      <c r="B426" s="14">
        <f>IF(A426="","",EDATE($C$7,409-1))</f>
        <v/>
      </c>
      <c r="C426" s="15">
        <f>H425</f>
        <v/>
      </c>
      <c r="D426" s="15">
        <f>IF(C426&gt;0.005,IF(C426+E426-$C$10&lt;1,C426+E426,$C$10),0)</f>
        <v/>
      </c>
      <c r="E426" s="15">
        <f>IF(C426&gt;0.005,C426*$C$5/1200,0)</f>
        <v/>
      </c>
      <c r="F426" s="15">
        <f>IF(C426&gt;0.005,D426-E426,0)</f>
        <v/>
      </c>
      <c r="G426" s="15">
        <f>IF(C426&gt;0.005,MIN($C$8,C426-F426),0)</f>
        <v/>
      </c>
      <c r="H426" s="15">
        <f>IF(C426&gt;0.005,C426-F426-G426,0)</f>
        <v/>
      </c>
      <c r="I426" s="13">
        <f>IF(A426="","",INT((409-1)/12)+1)</f>
        <v/>
      </c>
    </row>
    <row r="427">
      <c r="A427" s="13">
        <f>IF(C427&gt;0.005,410,"")</f>
        <v/>
      </c>
      <c r="B427" s="14">
        <f>IF(A427="","",EDATE($C$7,410-1))</f>
        <v/>
      </c>
      <c r="C427" s="15">
        <f>H426</f>
        <v/>
      </c>
      <c r="D427" s="15">
        <f>IF(C427&gt;0.005,IF(C427+E427-$C$10&lt;1,C427+E427,$C$10),0)</f>
        <v/>
      </c>
      <c r="E427" s="15">
        <f>IF(C427&gt;0.005,C427*$C$5/1200,0)</f>
        <v/>
      </c>
      <c r="F427" s="15">
        <f>IF(C427&gt;0.005,D427-E427,0)</f>
        <v/>
      </c>
      <c r="G427" s="15">
        <f>IF(C427&gt;0.005,MIN($C$8,C427-F427),0)</f>
        <v/>
      </c>
      <c r="H427" s="15">
        <f>IF(C427&gt;0.005,C427-F427-G427,0)</f>
        <v/>
      </c>
      <c r="I427" s="13">
        <f>IF(A427="","",INT((410-1)/12)+1)</f>
        <v/>
      </c>
    </row>
    <row r="428">
      <c r="A428" s="13">
        <f>IF(C428&gt;0.005,411,"")</f>
        <v/>
      </c>
      <c r="B428" s="14">
        <f>IF(A428="","",EDATE($C$7,411-1))</f>
        <v/>
      </c>
      <c r="C428" s="15">
        <f>H427</f>
        <v/>
      </c>
      <c r="D428" s="15">
        <f>IF(C428&gt;0.005,IF(C428+E428-$C$10&lt;1,C428+E428,$C$10),0)</f>
        <v/>
      </c>
      <c r="E428" s="15">
        <f>IF(C428&gt;0.005,C428*$C$5/1200,0)</f>
        <v/>
      </c>
      <c r="F428" s="15">
        <f>IF(C428&gt;0.005,D428-E428,0)</f>
        <v/>
      </c>
      <c r="G428" s="15">
        <f>IF(C428&gt;0.005,MIN($C$8,C428-F428),0)</f>
        <v/>
      </c>
      <c r="H428" s="15">
        <f>IF(C428&gt;0.005,C428-F428-G428,0)</f>
        <v/>
      </c>
      <c r="I428" s="13">
        <f>IF(A428="","",INT((411-1)/12)+1)</f>
        <v/>
      </c>
    </row>
    <row r="429">
      <c r="A429" s="13">
        <f>IF(C429&gt;0.005,412,"")</f>
        <v/>
      </c>
      <c r="B429" s="14">
        <f>IF(A429="","",EDATE($C$7,412-1))</f>
        <v/>
      </c>
      <c r="C429" s="15">
        <f>H428</f>
        <v/>
      </c>
      <c r="D429" s="15">
        <f>IF(C429&gt;0.005,IF(C429+E429-$C$10&lt;1,C429+E429,$C$10),0)</f>
        <v/>
      </c>
      <c r="E429" s="15">
        <f>IF(C429&gt;0.005,C429*$C$5/1200,0)</f>
        <v/>
      </c>
      <c r="F429" s="15">
        <f>IF(C429&gt;0.005,D429-E429,0)</f>
        <v/>
      </c>
      <c r="G429" s="15">
        <f>IF(C429&gt;0.005,MIN($C$8,C429-F429),0)</f>
        <v/>
      </c>
      <c r="H429" s="15">
        <f>IF(C429&gt;0.005,C429-F429-G429,0)</f>
        <v/>
      </c>
      <c r="I429" s="13">
        <f>IF(A429="","",INT((412-1)/12)+1)</f>
        <v/>
      </c>
    </row>
    <row r="430">
      <c r="A430" s="13">
        <f>IF(C430&gt;0.005,413,"")</f>
        <v/>
      </c>
      <c r="B430" s="14">
        <f>IF(A430="","",EDATE($C$7,413-1))</f>
        <v/>
      </c>
      <c r="C430" s="15">
        <f>H429</f>
        <v/>
      </c>
      <c r="D430" s="15">
        <f>IF(C430&gt;0.005,IF(C430+E430-$C$10&lt;1,C430+E430,$C$10),0)</f>
        <v/>
      </c>
      <c r="E430" s="15">
        <f>IF(C430&gt;0.005,C430*$C$5/1200,0)</f>
        <v/>
      </c>
      <c r="F430" s="15">
        <f>IF(C430&gt;0.005,D430-E430,0)</f>
        <v/>
      </c>
      <c r="G430" s="15">
        <f>IF(C430&gt;0.005,MIN($C$8,C430-F430),0)</f>
        <v/>
      </c>
      <c r="H430" s="15">
        <f>IF(C430&gt;0.005,C430-F430-G430,0)</f>
        <v/>
      </c>
      <c r="I430" s="13">
        <f>IF(A430="","",INT((413-1)/12)+1)</f>
        <v/>
      </c>
    </row>
    <row r="431">
      <c r="A431" s="13">
        <f>IF(C431&gt;0.005,414,"")</f>
        <v/>
      </c>
      <c r="B431" s="14">
        <f>IF(A431="","",EDATE($C$7,414-1))</f>
        <v/>
      </c>
      <c r="C431" s="15">
        <f>H430</f>
        <v/>
      </c>
      <c r="D431" s="15">
        <f>IF(C431&gt;0.005,IF(C431+E431-$C$10&lt;1,C431+E431,$C$10),0)</f>
        <v/>
      </c>
      <c r="E431" s="15">
        <f>IF(C431&gt;0.005,C431*$C$5/1200,0)</f>
        <v/>
      </c>
      <c r="F431" s="15">
        <f>IF(C431&gt;0.005,D431-E431,0)</f>
        <v/>
      </c>
      <c r="G431" s="15">
        <f>IF(C431&gt;0.005,MIN($C$8,C431-F431),0)</f>
        <v/>
      </c>
      <c r="H431" s="15">
        <f>IF(C431&gt;0.005,C431-F431-G431,0)</f>
        <v/>
      </c>
      <c r="I431" s="13">
        <f>IF(A431="","",INT((414-1)/12)+1)</f>
        <v/>
      </c>
    </row>
    <row r="432">
      <c r="A432" s="13">
        <f>IF(C432&gt;0.005,415,"")</f>
        <v/>
      </c>
      <c r="B432" s="14">
        <f>IF(A432="","",EDATE($C$7,415-1))</f>
        <v/>
      </c>
      <c r="C432" s="15">
        <f>H431</f>
        <v/>
      </c>
      <c r="D432" s="15">
        <f>IF(C432&gt;0.005,IF(C432+E432-$C$10&lt;1,C432+E432,$C$10),0)</f>
        <v/>
      </c>
      <c r="E432" s="15">
        <f>IF(C432&gt;0.005,C432*$C$5/1200,0)</f>
        <v/>
      </c>
      <c r="F432" s="15">
        <f>IF(C432&gt;0.005,D432-E432,0)</f>
        <v/>
      </c>
      <c r="G432" s="15">
        <f>IF(C432&gt;0.005,MIN($C$8,C432-F432),0)</f>
        <v/>
      </c>
      <c r="H432" s="15">
        <f>IF(C432&gt;0.005,C432-F432-G432,0)</f>
        <v/>
      </c>
      <c r="I432" s="13">
        <f>IF(A432="","",INT((415-1)/12)+1)</f>
        <v/>
      </c>
    </row>
    <row r="433">
      <c r="A433" s="13">
        <f>IF(C433&gt;0.005,416,"")</f>
        <v/>
      </c>
      <c r="B433" s="14">
        <f>IF(A433="","",EDATE($C$7,416-1))</f>
        <v/>
      </c>
      <c r="C433" s="15">
        <f>H432</f>
        <v/>
      </c>
      <c r="D433" s="15">
        <f>IF(C433&gt;0.005,IF(C433+E433-$C$10&lt;1,C433+E433,$C$10),0)</f>
        <v/>
      </c>
      <c r="E433" s="15">
        <f>IF(C433&gt;0.005,C433*$C$5/1200,0)</f>
        <v/>
      </c>
      <c r="F433" s="15">
        <f>IF(C433&gt;0.005,D433-E433,0)</f>
        <v/>
      </c>
      <c r="G433" s="15">
        <f>IF(C433&gt;0.005,MIN($C$8,C433-F433),0)</f>
        <v/>
      </c>
      <c r="H433" s="15">
        <f>IF(C433&gt;0.005,C433-F433-G433,0)</f>
        <v/>
      </c>
      <c r="I433" s="13">
        <f>IF(A433="","",INT((416-1)/12)+1)</f>
        <v/>
      </c>
    </row>
    <row r="434">
      <c r="A434" s="13">
        <f>IF(C434&gt;0.005,417,"")</f>
        <v/>
      </c>
      <c r="B434" s="14">
        <f>IF(A434="","",EDATE($C$7,417-1))</f>
        <v/>
      </c>
      <c r="C434" s="15">
        <f>H433</f>
        <v/>
      </c>
      <c r="D434" s="15">
        <f>IF(C434&gt;0.005,IF(C434+E434-$C$10&lt;1,C434+E434,$C$10),0)</f>
        <v/>
      </c>
      <c r="E434" s="15">
        <f>IF(C434&gt;0.005,C434*$C$5/1200,0)</f>
        <v/>
      </c>
      <c r="F434" s="15">
        <f>IF(C434&gt;0.005,D434-E434,0)</f>
        <v/>
      </c>
      <c r="G434" s="15">
        <f>IF(C434&gt;0.005,MIN($C$8,C434-F434),0)</f>
        <v/>
      </c>
      <c r="H434" s="15">
        <f>IF(C434&gt;0.005,C434-F434-G434,0)</f>
        <v/>
      </c>
      <c r="I434" s="13">
        <f>IF(A434="","",INT((417-1)/12)+1)</f>
        <v/>
      </c>
    </row>
    <row r="435">
      <c r="A435" s="13">
        <f>IF(C435&gt;0.005,418,"")</f>
        <v/>
      </c>
      <c r="B435" s="14">
        <f>IF(A435="","",EDATE($C$7,418-1))</f>
        <v/>
      </c>
      <c r="C435" s="15">
        <f>H434</f>
        <v/>
      </c>
      <c r="D435" s="15">
        <f>IF(C435&gt;0.005,IF(C435+E435-$C$10&lt;1,C435+E435,$C$10),0)</f>
        <v/>
      </c>
      <c r="E435" s="15">
        <f>IF(C435&gt;0.005,C435*$C$5/1200,0)</f>
        <v/>
      </c>
      <c r="F435" s="15">
        <f>IF(C435&gt;0.005,D435-E435,0)</f>
        <v/>
      </c>
      <c r="G435" s="15">
        <f>IF(C435&gt;0.005,MIN($C$8,C435-F435),0)</f>
        <v/>
      </c>
      <c r="H435" s="15">
        <f>IF(C435&gt;0.005,C435-F435-G435,0)</f>
        <v/>
      </c>
      <c r="I435" s="13">
        <f>IF(A435="","",INT((418-1)/12)+1)</f>
        <v/>
      </c>
    </row>
    <row r="436">
      <c r="A436" s="13">
        <f>IF(C436&gt;0.005,419,"")</f>
        <v/>
      </c>
      <c r="B436" s="14">
        <f>IF(A436="","",EDATE($C$7,419-1))</f>
        <v/>
      </c>
      <c r="C436" s="15">
        <f>H435</f>
        <v/>
      </c>
      <c r="D436" s="15">
        <f>IF(C436&gt;0.005,IF(C436+E436-$C$10&lt;1,C436+E436,$C$10),0)</f>
        <v/>
      </c>
      <c r="E436" s="15">
        <f>IF(C436&gt;0.005,C436*$C$5/1200,0)</f>
        <v/>
      </c>
      <c r="F436" s="15">
        <f>IF(C436&gt;0.005,D436-E436,0)</f>
        <v/>
      </c>
      <c r="G436" s="15">
        <f>IF(C436&gt;0.005,MIN($C$8,C436-F436),0)</f>
        <v/>
      </c>
      <c r="H436" s="15">
        <f>IF(C436&gt;0.005,C436-F436-G436,0)</f>
        <v/>
      </c>
      <c r="I436" s="13">
        <f>IF(A436="","",INT((419-1)/12)+1)</f>
        <v/>
      </c>
    </row>
    <row r="437">
      <c r="A437" s="13">
        <f>IF(C437&gt;0.005,420,"")</f>
        <v/>
      </c>
      <c r="B437" s="14">
        <f>IF(A437="","",EDATE($C$7,420-1))</f>
        <v/>
      </c>
      <c r="C437" s="15">
        <f>H436</f>
        <v/>
      </c>
      <c r="D437" s="15">
        <f>IF(C437&gt;0.005,IF(C437+E437-$C$10&lt;1,C437+E437,$C$10),0)</f>
        <v/>
      </c>
      <c r="E437" s="15">
        <f>IF(C437&gt;0.005,C437*$C$5/1200,0)</f>
        <v/>
      </c>
      <c r="F437" s="15">
        <f>IF(C437&gt;0.005,D437-E437,0)</f>
        <v/>
      </c>
      <c r="G437" s="15">
        <f>IF(C437&gt;0.005,MIN($C$8,C437-F437),0)</f>
        <v/>
      </c>
      <c r="H437" s="15">
        <f>IF(C437&gt;0.005,C437-F437-G437,0)</f>
        <v/>
      </c>
      <c r="I437" s="13">
        <f>IF(A437="","",INT((420-1)/12)+1)</f>
        <v/>
      </c>
    </row>
    <row r="438">
      <c r="A438" s="13">
        <f>IF(C438&gt;0.005,421,"")</f>
        <v/>
      </c>
      <c r="B438" s="14">
        <f>IF(A438="","",EDATE($C$7,421-1))</f>
        <v/>
      </c>
      <c r="C438" s="15">
        <f>H437</f>
        <v/>
      </c>
      <c r="D438" s="15">
        <f>IF(C438&gt;0.005,IF(C438+E438-$C$10&lt;1,C438+E438,$C$10),0)</f>
        <v/>
      </c>
      <c r="E438" s="15">
        <f>IF(C438&gt;0.005,C438*$C$5/1200,0)</f>
        <v/>
      </c>
      <c r="F438" s="15">
        <f>IF(C438&gt;0.005,D438-E438,0)</f>
        <v/>
      </c>
      <c r="G438" s="15">
        <f>IF(C438&gt;0.005,MIN($C$8,C438-F438),0)</f>
        <v/>
      </c>
      <c r="H438" s="15">
        <f>IF(C438&gt;0.005,C438-F438-G438,0)</f>
        <v/>
      </c>
      <c r="I438" s="13">
        <f>IF(A438="","",INT((421-1)/12)+1)</f>
        <v/>
      </c>
    </row>
    <row r="439">
      <c r="A439" s="13">
        <f>IF(C439&gt;0.005,422,"")</f>
        <v/>
      </c>
      <c r="B439" s="14">
        <f>IF(A439="","",EDATE($C$7,422-1))</f>
        <v/>
      </c>
      <c r="C439" s="15">
        <f>H438</f>
        <v/>
      </c>
      <c r="D439" s="15">
        <f>IF(C439&gt;0.005,IF(C439+E439-$C$10&lt;1,C439+E439,$C$10),0)</f>
        <v/>
      </c>
      <c r="E439" s="15">
        <f>IF(C439&gt;0.005,C439*$C$5/1200,0)</f>
        <v/>
      </c>
      <c r="F439" s="15">
        <f>IF(C439&gt;0.005,D439-E439,0)</f>
        <v/>
      </c>
      <c r="G439" s="15">
        <f>IF(C439&gt;0.005,MIN($C$8,C439-F439),0)</f>
        <v/>
      </c>
      <c r="H439" s="15">
        <f>IF(C439&gt;0.005,C439-F439-G439,0)</f>
        <v/>
      </c>
      <c r="I439" s="13">
        <f>IF(A439="","",INT((422-1)/12)+1)</f>
        <v/>
      </c>
    </row>
    <row r="440">
      <c r="A440" s="13">
        <f>IF(C440&gt;0.005,423,"")</f>
        <v/>
      </c>
      <c r="B440" s="14">
        <f>IF(A440="","",EDATE($C$7,423-1))</f>
        <v/>
      </c>
      <c r="C440" s="15">
        <f>H439</f>
        <v/>
      </c>
      <c r="D440" s="15">
        <f>IF(C440&gt;0.005,IF(C440+E440-$C$10&lt;1,C440+E440,$C$10),0)</f>
        <v/>
      </c>
      <c r="E440" s="15">
        <f>IF(C440&gt;0.005,C440*$C$5/1200,0)</f>
        <v/>
      </c>
      <c r="F440" s="15">
        <f>IF(C440&gt;0.005,D440-E440,0)</f>
        <v/>
      </c>
      <c r="G440" s="15">
        <f>IF(C440&gt;0.005,MIN($C$8,C440-F440),0)</f>
        <v/>
      </c>
      <c r="H440" s="15">
        <f>IF(C440&gt;0.005,C440-F440-G440,0)</f>
        <v/>
      </c>
      <c r="I440" s="13">
        <f>IF(A440="","",INT((423-1)/12)+1)</f>
        <v/>
      </c>
    </row>
    <row r="441">
      <c r="A441" s="13">
        <f>IF(C441&gt;0.005,424,"")</f>
        <v/>
      </c>
      <c r="B441" s="14">
        <f>IF(A441="","",EDATE($C$7,424-1))</f>
        <v/>
      </c>
      <c r="C441" s="15">
        <f>H440</f>
        <v/>
      </c>
      <c r="D441" s="15">
        <f>IF(C441&gt;0.005,IF(C441+E441-$C$10&lt;1,C441+E441,$C$10),0)</f>
        <v/>
      </c>
      <c r="E441" s="15">
        <f>IF(C441&gt;0.005,C441*$C$5/1200,0)</f>
        <v/>
      </c>
      <c r="F441" s="15">
        <f>IF(C441&gt;0.005,D441-E441,0)</f>
        <v/>
      </c>
      <c r="G441" s="15">
        <f>IF(C441&gt;0.005,MIN($C$8,C441-F441),0)</f>
        <v/>
      </c>
      <c r="H441" s="15">
        <f>IF(C441&gt;0.005,C441-F441-G441,0)</f>
        <v/>
      </c>
      <c r="I441" s="13">
        <f>IF(A441="","",INT((424-1)/12)+1)</f>
        <v/>
      </c>
    </row>
    <row r="442">
      <c r="A442" s="13">
        <f>IF(C442&gt;0.005,425,"")</f>
        <v/>
      </c>
      <c r="B442" s="14">
        <f>IF(A442="","",EDATE($C$7,425-1))</f>
        <v/>
      </c>
      <c r="C442" s="15">
        <f>H441</f>
        <v/>
      </c>
      <c r="D442" s="15">
        <f>IF(C442&gt;0.005,IF(C442+E442-$C$10&lt;1,C442+E442,$C$10),0)</f>
        <v/>
      </c>
      <c r="E442" s="15">
        <f>IF(C442&gt;0.005,C442*$C$5/1200,0)</f>
        <v/>
      </c>
      <c r="F442" s="15">
        <f>IF(C442&gt;0.005,D442-E442,0)</f>
        <v/>
      </c>
      <c r="G442" s="15">
        <f>IF(C442&gt;0.005,MIN($C$8,C442-F442),0)</f>
        <v/>
      </c>
      <c r="H442" s="15">
        <f>IF(C442&gt;0.005,C442-F442-G442,0)</f>
        <v/>
      </c>
      <c r="I442" s="13">
        <f>IF(A442="","",INT((425-1)/12)+1)</f>
        <v/>
      </c>
    </row>
    <row r="443">
      <c r="A443" s="13">
        <f>IF(C443&gt;0.005,426,"")</f>
        <v/>
      </c>
      <c r="B443" s="14">
        <f>IF(A443="","",EDATE($C$7,426-1))</f>
        <v/>
      </c>
      <c r="C443" s="15">
        <f>H442</f>
        <v/>
      </c>
      <c r="D443" s="15">
        <f>IF(C443&gt;0.005,IF(C443+E443-$C$10&lt;1,C443+E443,$C$10),0)</f>
        <v/>
      </c>
      <c r="E443" s="15">
        <f>IF(C443&gt;0.005,C443*$C$5/1200,0)</f>
        <v/>
      </c>
      <c r="F443" s="15">
        <f>IF(C443&gt;0.005,D443-E443,0)</f>
        <v/>
      </c>
      <c r="G443" s="15">
        <f>IF(C443&gt;0.005,MIN($C$8,C443-F443),0)</f>
        <v/>
      </c>
      <c r="H443" s="15">
        <f>IF(C443&gt;0.005,C443-F443-G443,0)</f>
        <v/>
      </c>
      <c r="I443" s="13">
        <f>IF(A443="","",INT((426-1)/12)+1)</f>
        <v/>
      </c>
    </row>
    <row r="444">
      <c r="A444" s="13">
        <f>IF(C444&gt;0.005,427,"")</f>
        <v/>
      </c>
      <c r="B444" s="14">
        <f>IF(A444="","",EDATE($C$7,427-1))</f>
        <v/>
      </c>
      <c r="C444" s="15">
        <f>H443</f>
        <v/>
      </c>
      <c r="D444" s="15">
        <f>IF(C444&gt;0.005,IF(C444+E444-$C$10&lt;1,C444+E444,$C$10),0)</f>
        <v/>
      </c>
      <c r="E444" s="15">
        <f>IF(C444&gt;0.005,C444*$C$5/1200,0)</f>
        <v/>
      </c>
      <c r="F444" s="15">
        <f>IF(C444&gt;0.005,D444-E444,0)</f>
        <v/>
      </c>
      <c r="G444" s="15">
        <f>IF(C444&gt;0.005,MIN($C$8,C444-F444),0)</f>
        <v/>
      </c>
      <c r="H444" s="15">
        <f>IF(C444&gt;0.005,C444-F444-G444,0)</f>
        <v/>
      </c>
      <c r="I444" s="13">
        <f>IF(A444="","",INT((427-1)/12)+1)</f>
        <v/>
      </c>
    </row>
    <row r="445">
      <c r="A445" s="13">
        <f>IF(C445&gt;0.005,428,"")</f>
        <v/>
      </c>
      <c r="B445" s="14">
        <f>IF(A445="","",EDATE($C$7,428-1))</f>
        <v/>
      </c>
      <c r="C445" s="15">
        <f>H444</f>
        <v/>
      </c>
      <c r="D445" s="15">
        <f>IF(C445&gt;0.005,IF(C445+E445-$C$10&lt;1,C445+E445,$C$10),0)</f>
        <v/>
      </c>
      <c r="E445" s="15">
        <f>IF(C445&gt;0.005,C445*$C$5/1200,0)</f>
        <v/>
      </c>
      <c r="F445" s="15">
        <f>IF(C445&gt;0.005,D445-E445,0)</f>
        <v/>
      </c>
      <c r="G445" s="15">
        <f>IF(C445&gt;0.005,MIN($C$8,C445-F445),0)</f>
        <v/>
      </c>
      <c r="H445" s="15">
        <f>IF(C445&gt;0.005,C445-F445-G445,0)</f>
        <v/>
      </c>
      <c r="I445" s="13">
        <f>IF(A445="","",INT((428-1)/12)+1)</f>
        <v/>
      </c>
    </row>
    <row r="446">
      <c r="A446" s="13">
        <f>IF(C446&gt;0.005,429,"")</f>
        <v/>
      </c>
      <c r="B446" s="14">
        <f>IF(A446="","",EDATE($C$7,429-1))</f>
        <v/>
      </c>
      <c r="C446" s="15">
        <f>H445</f>
        <v/>
      </c>
      <c r="D446" s="15">
        <f>IF(C446&gt;0.005,IF(C446+E446-$C$10&lt;1,C446+E446,$C$10),0)</f>
        <v/>
      </c>
      <c r="E446" s="15">
        <f>IF(C446&gt;0.005,C446*$C$5/1200,0)</f>
        <v/>
      </c>
      <c r="F446" s="15">
        <f>IF(C446&gt;0.005,D446-E446,0)</f>
        <v/>
      </c>
      <c r="G446" s="15">
        <f>IF(C446&gt;0.005,MIN($C$8,C446-F446),0)</f>
        <v/>
      </c>
      <c r="H446" s="15">
        <f>IF(C446&gt;0.005,C446-F446-G446,0)</f>
        <v/>
      </c>
      <c r="I446" s="13">
        <f>IF(A446="","",INT((429-1)/12)+1)</f>
        <v/>
      </c>
    </row>
    <row r="447">
      <c r="A447" s="13">
        <f>IF(C447&gt;0.005,430,"")</f>
        <v/>
      </c>
      <c r="B447" s="14">
        <f>IF(A447="","",EDATE($C$7,430-1))</f>
        <v/>
      </c>
      <c r="C447" s="15">
        <f>H446</f>
        <v/>
      </c>
      <c r="D447" s="15">
        <f>IF(C447&gt;0.005,IF(C447+E447-$C$10&lt;1,C447+E447,$C$10),0)</f>
        <v/>
      </c>
      <c r="E447" s="15">
        <f>IF(C447&gt;0.005,C447*$C$5/1200,0)</f>
        <v/>
      </c>
      <c r="F447" s="15">
        <f>IF(C447&gt;0.005,D447-E447,0)</f>
        <v/>
      </c>
      <c r="G447" s="15">
        <f>IF(C447&gt;0.005,MIN($C$8,C447-F447),0)</f>
        <v/>
      </c>
      <c r="H447" s="15">
        <f>IF(C447&gt;0.005,C447-F447-G447,0)</f>
        <v/>
      </c>
      <c r="I447" s="13">
        <f>IF(A447="","",INT((430-1)/12)+1)</f>
        <v/>
      </c>
    </row>
    <row r="448">
      <c r="A448" s="13">
        <f>IF(C448&gt;0.005,431,"")</f>
        <v/>
      </c>
      <c r="B448" s="14">
        <f>IF(A448="","",EDATE($C$7,431-1))</f>
        <v/>
      </c>
      <c r="C448" s="15">
        <f>H447</f>
        <v/>
      </c>
      <c r="D448" s="15">
        <f>IF(C448&gt;0.005,IF(C448+E448-$C$10&lt;1,C448+E448,$C$10),0)</f>
        <v/>
      </c>
      <c r="E448" s="15">
        <f>IF(C448&gt;0.005,C448*$C$5/1200,0)</f>
        <v/>
      </c>
      <c r="F448" s="15">
        <f>IF(C448&gt;0.005,D448-E448,0)</f>
        <v/>
      </c>
      <c r="G448" s="15">
        <f>IF(C448&gt;0.005,MIN($C$8,C448-F448),0)</f>
        <v/>
      </c>
      <c r="H448" s="15">
        <f>IF(C448&gt;0.005,C448-F448-G448,0)</f>
        <v/>
      </c>
      <c r="I448" s="13">
        <f>IF(A448="","",INT((431-1)/12)+1)</f>
        <v/>
      </c>
    </row>
    <row r="449">
      <c r="A449" s="13">
        <f>IF(C449&gt;0.005,432,"")</f>
        <v/>
      </c>
      <c r="B449" s="14">
        <f>IF(A449="","",EDATE($C$7,432-1))</f>
        <v/>
      </c>
      <c r="C449" s="15">
        <f>H448</f>
        <v/>
      </c>
      <c r="D449" s="15">
        <f>IF(C449&gt;0.005,IF(C449+E449-$C$10&lt;1,C449+E449,$C$10),0)</f>
        <v/>
      </c>
      <c r="E449" s="15">
        <f>IF(C449&gt;0.005,C449*$C$5/1200,0)</f>
        <v/>
      </c>
      <c r="F449" s="15">
        <f>IF(C449&gt;0.005,D449-E449,0)</f>
        <v/>
      </c>
      <c r="G449" s="15">
        <f>IF(C449&gt;0.005,MIN($C$8,C449-F449),0)</f>
        <v/>
      </c>
      <c r="H449" s="15">
        <f>IF(C449&gt;0.005,C449-F449-G449,0)</f>
        <v/>
      </c>
      <c r="I449" s="13">
        <f>IF(A449="","",INT((432-1)/12)+1)</f>
        <v/>
      </c>
    </row>
    <row r="450">
      <c r="A450" s="13">
        <f>IF(C450&gt;0.005,433,"")</f>
        <v/>
      </c>
      <c r="B450" s="14">
        <f>IF(A450="","",EDATE($C$7,433-1))</f>
        <v/>
      </c>
      <c r="C450" s="15">
        <f>H449</f>
        <v/>
      </c>
      <c r="D450" s="15">
        <f>IF(C450&gt;0.005,IF(C450+E450-$C$10&lt;1,C450+E450,$C$10),0)</f>
        <v/>
      </c>
      <c r="E450" s="15">
        <f>IF(C450&gt;0.005,C450*$C$5/1200,0)</f>
        <v/>
      </c>
      <c r="F450" s="15">
        <f>IF(C450&gt;0.005,D450-E450,0)</f>
        <v/>
      </c>
      <c r="G450" s="15">
        <f>IF(C450&gt;0.005,MIN($C$8,C450-F450),0)</f>
        <v/>
      </c>
      <c r="H450" s="15">
        <f>IF(C450&gt;0.005,C450-F450-G450,0)</f>
        <v/>
      </c>
      <c r="I450" s="13">
        <f>IF(A450="","",INT((433-1)/12)+1)</f>
        <v/>
      </c>
    </row>
    <row r="451">
      <c r="A451" s="13">
        <f>IF(C451&gt;0.005,434,"")</f>
        <v/>
      </c>
      <c r="B451" s="14">
        <f>IF(A451="","",EDATE($C$7,434-1))</f>
        <v/>
      </c>
      <c r="C451" s="15">
        <f>H450</f>
        <v/>
      </c>
      <c r="D451" s="15">
        <f>IF(C451&gt;0.005,IF(C451+E451-$C$10&lt;1,C451+E451,$C$10),0)</f>
        <v/>
      </c>
      <c r="E451" s="15">
        <f>IF(C451&gt;0.005,C451*$C$5/1200,0)</f>
        <v/>
      </c>
      <c r="F451" s="15">
        <f>IF(C451&gt;0.005,D451-E451,0)</f>
        <v/>
      </c>
      <c r="G451" s="15">
        <f>IF(C451&gt;0.005,MIN($C$8,C451-F451),0)</f>
        <v/>
      </c>
      <c r="H451" s="15">
        <f>IF(C451&gt;0.005,C451-F451-G451,0)</f>
        <v/>
      </c>
      <c r="I451" s="13">
        <f>IF(A451="","",INT((434-1)/12)+1)</f>
        <v/>
      </c>
    </row>
    <row r="452">
      <c r="A452" s="13">
        <f>IF(C452&gt;0.005,435,"")</f>
        <v/>
      </c>
      <c r="B452" s="14">
        <f>IF(A452="","",EDATE($C$7,435-1))</f>
        <v/>
      </c>
      <c r="C452" s="15">
        <f>H451</f>
        <v/>
      </c>
      <c r="D452" s="15">
        <f>IF(C452&gt;0.005,IF(C452+E452-$C$10&lt;1,C452+E452,$C$10),0)</f>
        <v/>
      </c>
      <c r="E452" s="15">
        <f>IF(C452&gt;0.005,C452*$C$5/1200,0)</f>
        <v/>
      </c>
      <c r="F452" s="15">
        <f>IF(C452&gt;0.005,D452-E452,0)</f>
        <v/>
      </c>
      <c r="G452" s="15">
        <f>IF(C452&gt;0.005,MIN($C$8,C452-F452),0)</f>
        <v/>
      </c>
      <c r="H452" s="15">
        <f>IF(C452&gt;0.005,C452-F452-G452,0)</f>
        <v/>
      </c>
      <c r="I452" s="13">
        <f>IF(A452="","",INT((435-1)/12)+1)</f>
        <v/>
      </c>
    </row>
    <row r="453">
      <c r="A453" s="13">
        <f>IF(C453&gt;0.005,436,"")</f>
        <v/>
      </c>
      <c r="B453" s="14">
        <f>IF(A453="","",EDATE($C$7,436-1))</f>
        <v/>
      </c>
      <c r="C453" s="15">
        <f>H452</f>
        <v/>
      </c>
      <c r="D453" s="15">
        <f>IF(C453&gt;0.005,IF(C453+E453-$C$10&lt;1,C453+E453,$C$10),0)</f>
        <v/>
      </c>
      <c r="E453" s="15">
        <f>IF(C453&gt;0.005,C453*$C$5/1200,0)</f>
        <v/>
      </c>
      <c r="F453" s="15">
        <f>IF(C453&gt;0.005,D453-E453,0)</f>
        <v/>
      </c>
      <c r="G453" s="15">
        <f>IF(C453&gt;0.005,MIN($C$8,C453-F453),0)</f>
        <v/>
      </c>
      <c r="H453" s="15">
        <f>IF(C453&gt;0.005,C453-F453-G453,0)</f>
        <v/>
      </c>
      <c r="I453" s="13">
        <f>IF(A453="","",INT((436-1)/12)+1)</f>
        <v/>
      </c>
    </row>
    <row r="454">
      <c r="A454" s="13">
        <f>IF(C454&gt;0.005,437,"")</f>
        <v/>
      </c>
      <c r="B454" s="14">
        <f>IF(A454="","",EDATE($C$7,437-1))</f>
        <v/>
      </c>
      <c r="C454" s="15">
        <f>H453</f>
        <v/>
      </c>
      <c r="D454" s="15">
        <f>IF(C454&gt;0.005,IF(C454+E454-$C$10&lt;1,C454+E454,$C$10),0)</f>
        <v/>
      </c>
      <c r="E454" s="15">
        <f>IF(C454&gt;0.005,C454*$C$5/1200,0)</f>
        <v/>
      </c>
      <c r="F454" s="15">
        <f>IF(C454&gt;0.005,D454-E454,0)</f>
        <v/>
      </c>
      <c r="G454" s="15">
        <f>IF(C454&gt;0.005,MIN($C$8,C454-F454),0)</f>
        <v/>
      </c>
      <c r="H454" s="15">
        <f>IF(C454&gt;0.005,C454-F454-G454,0)</f>
        <v/>
      </c>
      <c r="I454" s="13">
        <f>IF(A454="","",INT((437-1)/12)+1)</f>
        <v/>
      </c>
    </row>
    <row r="455">
      <c r="A455" s="13">
        <f>IF(C455&gt;0.005,438,"")</f>
        <v/>
      </c>
      <c r="B455" s="14">
        <f>IF(A455="","",EDATE($C$7,438-1))</f>
        <v/>
      </c>
      <c r="C455" s="15">
        <f>H454</f>
        <v/>
      </c>
      <c r="D455" s="15">
        <f>IF(C455&gt;0.005,IF(C455+E455-$C$10&lt;1,C455+E455,$C$10),0)</f>
        <v/>
      </c>
      <c r="E455" s="15">
        <f>IF(C455&gt;0.005,C455*$C$5/1200,0)</f>
        <v/>
      </c>
      <c r="F455" s="15">
        <f>IF(C455&gt;0.005,D455-E455,0)</f>
        <v/>
      </c>
      <c r="G455" s="15">
        <f>IF(C455&gt;0.005,MIN($C$8,C455-F455),0)</f>
        <v/>
      </c>
      <c r="H455" s="15">
        <f>IF(C455&gt;0.005,C455-F455-G455,0)</f>
        <v/>
      </c>
      <c r="I455" s="13">
        <f>IF(A455="","",INT((438-1)/12)+1)</f>
        <v/>
      </c>
    </row>
    <row r="456">
      <c r="A456" s="13">
        <f>IF(C456&gt;0.005,439,"")</f>
        <v/>
      </c>
      <c r="B456" s="14">
        <f>IF(A456="","",EDATE($C$7,439-1))</f>
        <v/>
      </c>
      <c r="C456" s="15">
        <f>H455</f>
        <v/>
      </c>
      <c r="D456" s="15">
        <f>IF(C456&gt;0.005,IF(C456+E456-$C$10&lt;1,C456+E456,$C$10),0)</f>
        <v/>
      </c>
      <c r="E456" s="15">
        <f>IF(C456&gt;0.005,C456*$C$5/1200,0)</f>
        <v/>
      </c>
      <c r="F456" s="15">
        <f>IF(C456&gt;0.005,D456-E456,0)</f>
        <v/>
      </c>
      <c r="G456" s="15">
        <f>IF(C456&gt;0.005,MIN($C$8,C456-F456),0)</f>
        <v/>
      </c>
      <c r="H456" s="15">
        <f>IF(C456&gt;0.005,C456-F456-G456,0)</f>
        <v/>
      </c>
      <c r="I456" s="13">
        <f>IF(A456="","",INT((439-1)/12)+1)</f>
        <v/>
      </c>
    </row>
    <row r="457">
      <c r="A457" s="13">
        <f>IF(C457&gt;0.005,440,"")</f>
        <v/>
      </c>
      <c r="B457" s="14">
        <f>IF(A457="","",EDATE($C$7,440-1))</f>
        <v/>
      </c>
      <c r="C457" s="15">
        <f>H456</f>
        <v/>
      </c>
      <c r="D457" s="15">
        <f>IF(C457&gt;0.005,IF(C457+E457-$C$10&lt;1,C457+E457,$C$10),0)</f>
        <v/>
      </c>
      <c r="E457" s="15">
        <f>IF(C457&gt;0.005,C457*$C$5/1200,0)</f>
        <v/>
      </c>
      <c r="F457" s="15">
        <f>IF(C457&gt;0.005,D457-E457,0)</f>
        <v/>
      </c>
      <c r="G457" s="15">
        <f>IF(C457&gt;0.005,MIN($C$8,C457-F457),0)</f>
        <v/>
      </c>
      <c r="H457" s="15">
        <f>IF(C457&gt;0.005,C457-F457-G457,0)</f>
        <v/>
      </c>
      <c r="I457" s="13">
        <f>IF(A457="","",INT((440-1)/12)+1)</f>
        <v/>
      </c>
    </row>
    <row r="458">
      <c r="A458" s="13">
        <f>IF(C458&gt;0.005,441,"")</f>
        <v/>
      </c>
      <c r="B458" s="14">
        <f>IF(A458="","",EDATE($C$7,441-1))</f>
        <v/>
      </c>
      <c r="C458" s="15">
        <f>H457</f>
        <v/>
      </c>
      <c r="D458" s="15">
        <f>IF(C458&gt;0.005,IF(C458+E458-$C$10&lt;1,C458+E458,$C$10),0)</f>
        <v/>
      </c>
      <c r="E458" s="15">
        <f>IF(C458&gt;0.005,C458*$C$5/1200,0)</f>
        <v/>
      </c>
      <c r="F458" s="15">
        <f>IF(C458&gt;0.005,D458-E458,0)</f>
        <v/>
      </c>
      <c r="G458" s="15">
        <f>IF(C458&gt;0.005,MIN($C$8,C458-F458),0)</f>
        <v/>
      </c>
      <c r="H458" s="15">
        <f>IF(C458&gt;0.005,C458-F458-G458,0)</f>
        <v/>
      </c>
      <c r="I458" s="13">
        <f>IF(A458="","",INT((441-1)/12)+1)</f>
        <v/>
      </c>
    </row>
    <row r="459">
      <c r="A459" s="13">
        <f>IF(C459&gt;0.005,442,"")</f>
        <v/>
      </c>
      <c r="B459" s="14">
        <f>IF(A459="","",EDATE($C$7,442-1))</f>
        <v/>
      </c>
      <c r="C459" s="15">
        <f>H458</f>
        <v/>
      </c>
      <c r="D459" s="15">
        <f>IF(C459&gt;0.005,IF(C459+E459-$C$10&lt;1,C459+E459,$C$10),0)</f>
        <v/>
      </c>
      <c r="E459" s="15">
        <f>IF(C459&gt;0.005,C459*$C$5/1200,0)</f>
        <v/>
      </c>
      <c r="F459" s="15">
        <f>IF(C459&gt;0.005,D459-E459,0)</f>
        <v/>
      </c>
      <c r="G459" s="15">
        <f>IF(C459&gt;0.005,MIN($C$8,C459-F459),0)</f>
        <v/>
      </c>
      <c r="H459" s="15">
        <f>IF(C459&gt;0.005,C459-F459-G459,0)</f>
        <v/>
      </c>
      <c r="I459" s="13">
        <f>IF(A459="","",INT((442-1)/12)+1)</f>
        <v/>
      </c>
    </row>
    <row r="460">
      <c r="A460" s="13">
        <f>IF(C460&gt;0.005,443,"")</f>
        <v/>
      </c>
      <c r="B460" s="14">
        <f>IF(A460="","",EDATE($C$7,443-1))</f>
        <v/>
      </c>
      <c r="C460" s="15">
        <f>H459</f>
        <v/>
      </c>
      <c r="D460" s="15">
        <f>IF(C460&gt;0.005,IF(C460+E460-$C$10&lt;1,C460+E460,$C$10),0)</f>
        <v/>
      </c>
      <c r="E460" s="15">
        <f>IF(C460&gt;0.005,C460*$C$5/1200,0)</f>
        <v/>
      </c>
      <c r="F460" s="15">
        <f>IF(C460&gt;0.005,D460-E460,0)</f>
        <v/>
      </c>
      <c r="G460" s="15">
        <f>IF(C460&gt;0.005,MIN($C$8,C460-F460),0)</f>
        <v/>
      </c>
      <c r="H460" s="15">
        <f>IF(C460&gt;0.005,C460-F460-G460,0)</f>
        <v/>
      </c>
      <c r="I460" s="13">
        <f>IF(A460="","",INT((443-1)/12)+1)</f>
        <v/>
      </c>
    </row>
    <row r="461">
      <c r="A461" s="13">
        <f>IF(C461&gt;0.005,444,"")</f>
        <v/>
      </c>
      <c r="B461" s="14">
        <f>IF(A461="","",EDATE($C$7,444-1))</f>
        <v/>
      </c>
      <c r="C461" s="15">
        <f>H460</f>
        <v/>
      </c>
      <c r="D461" s="15">
        <f>IF(C461&gt;0.005,IF(C461+E461-$C$10&lt;1,C461+E461,$C$10),0)</f>
        <v/>
      </c>
      <c r="E461" s="15">
        <f>IF(C461&gt;0.005,C461*$C$5/1200,0)</f>
        <v/>
      </c>
      <c r="F461" s="15">
        <f>IF(C461&gt;0.005,D461-E461,0)</f>
        <v/>
      </c>
      <c r="G461" s="15">
        <f>IF(C461&gt;0.005,MIN($C$8,C461-F461),0)</f>
        <v/>
      </c>
      <c r="H461" s="15">
        <f>IF(C461&gt;0.005,C461-F461-G461,0)</f>
        <v/>
      </c>
      <c r="I461" s="13">
        <f>IF(A461="","",INT((444-1)/12)+1)</f>
        <v/>
      </c>
    </row>
    <row r="462">
      <c r="A462" s="13">
        <f>IF(C462&gt;0.005,445,"")</f>
        <v/>
      </c>
      <c r="B462" s="14">
        <f>IF(A462="","",EDATE($C$7,445-1))</f>
        <v/>
      </c>
      <c r="C462" s="15">
        <f>H461</f>
        <v/>
      </c>
      <c r="D462" s="15">
        <f>IF(C462&gt;0.005,IF(C462+E462-$C$10&lt;1,C462+E462,$C$10),0)</f>
        <v/>
      </c>
      <c r="E462" s="15">
        <f>IF(C462&gt;0.005,C462*$C$5/1200,0)</f>
        <v/>
      </c>
      <c r="F462" s="15">
        <f>IF(C462&gt;0.005,D462-E462,0)</f>
        <v/>
      </c>
      <c r="G462" s="15">
        <f>IF(C462&gt;0.005,MIN($C$8,C462-F462),0)</f>
        <v/>
      </c>
      <c r="H462" s="15">
        <f>IF(C462&gt;0.005,C462-F462-G462,0)</f>
        <v/>
      </c>
      <c r="I462" s="13">
        <f>IF(A462="","",INT((445-1)/12)+1)</f>
        <v/>
      </c>
    </row>
    <row r="463">
      <c r="A463" s="13">
        <f>IF(C463&gt;0.005,446,"")</f>
        <v/>
      </c>
      <c r="B463" s="14">
        <f>IF(A463="","",EDATE($C$7,446-1))</f>
        <v/>
      </c>
      <c r="C463" s="15">
        <f>H462</f>
        <v/>
      </c>
      <c r="D463" s="15">
        <f>IF(C463&gt;0.005,IF(C463+E463-$C$10&lt;1,C463+E463,$C$10),0)</f>
        <v/>
      </c>
      <c r="E463" s="15">
        <f>IF(C463&gt;0.005,C463*$C$5/1200,0)</f>
        <v/>
      </c>
      <c r="F463" s="15">
        <f>IF(C463&gt;0.005,D463-E463,0)</f>
        <v/>
      </c>
      <c r="G463" s="15">
        <f>IF(C463&gt;0.005,MIN($C$8,C463-F463),0)</f>
        <v/>
      </c>
      <c r="H463" s="15">
        <f>IF(C463&gt;0.005,C463-F463-G463,0)</f>
        <v/>
      </c>
      <c r="I463" s="13">
        <f>IF(A463="","",INT((446-1)/12)+1)</f>
        <v/>
      </c>
    </row>
    <row r="464">
      <c r="A464" s="13">
        <f>IF(C464&gt;0.005,447,"")</f>
        <v/>
      </c>
      <c r="B464" s="14">
        <f>IF(A464="","",EDATE($C$7,447-1))</f>
        <v/>
      </c>
      <c r="C464" s="15">
        <f>H463</f>
        <v/>
      </c>
      <c r="D464" s="15">
        <f>IF(C464&gt;0.005,IF(C464+E464-$C$10&lt;1,C464+E464,$C$10),0)</f>
        <v/>
      </c>
      <c r="E464" s="15">
        <f>IF(C464&gt;0.005,C464*$C$5/1200,0)</f>
        <v/>
      </c>
      <c r="F464" s="15">
        <f>IF(C464&gt;0.005,D464-E464,0)</f>
        <v/>
      </c>
      <c r="G464" s="15">
        <f>IF(C464&gt;0.005,MIN($C$8,C464-F464),0)</f>
        <v/>
      </c>
      <c r="H464" s="15">
        <f>IF(C464&gt;0.005,C464-F464-G464,0)</f>
        <v/>
      </c>
      <c r="I464" s="13">
        <f>IF(A464="","",INT((447-1)/12)+1)</f>
        <v/>
      </c>
    </row>
    <row r="465">
      <c r="A465" s="13">
        <f>IF(C465&gt;0.005,448,"")</f>
        <v/>
      </c>
      <c r="B465" s="14">
        <f>IF(A465="","",EDATE($C$7,448-1))</f>
        <v/>
      </c>
      <c r="C465" s="15">
        <f>H464</f>
        <v/>
      </c>
      <c r="D465" s="15">
        <f>IF(C465&gt;0.005,IF(C465+E465-$C$10&lt;1,C465+E465,$C$10),0)</f>
        <v/>
      </c>
      <c r="E465" s="15">
        <f>IF(C465&gt;0.005,C465*$C$5/1200,0)</f>
        <v/>
      </c>
      <c r="F465" s="15">
        <f>IF(C465&gt;0.005,D465-E465,0)</f>
        <v/>
      </c>
      <c r="G465" s="15">
        <f>IF(C465&gt;0.005,MIN($C$8,C465-F465),0)</f>
        <v/>
      </c>
      <c r="H465" s="15">
        <f>IF(C465&gt;0.005,C465-F465-G465,0)</f>
        <v/>
      </c>
      <c r="I465" s="13">
        <f>IF(A465="","",INT((448-1)/12)+1)</f>
        <v/>
      </c>
    </row>
    <row r="466">
      <c r="A466" s="13">
        <f>IF(C466&gt;0.005,449,"")</f>
        <v/>
      </c>
      <c r="B466" s="14">
        <f>IF(A466="","",EDATE($C$7,449-1))</f>
        <v/>
      </c>
      <c r="C466" s="15">
        <f>H465</f>
        <v/>
      </c>
      <c r="D466" s="15">
        <f>IF(C466&gt;0.005,IF(C466+E466-$C$10&lt;1,C466+E466,$C$10),0)</f>
        <v/>
      </c>
      <c r="E466" s="15">
        <f>IF(C466&gt;0.005,C466*$C$5/1200,0)</f>
        <v/>
      </c>
      <c r="F466" s="15">
        <f>IF(C466&gt;0.005,D466-E466,0)</f>
        <v/>
      </c>
      <c r="G466" s="15">
        <f>IF(C466&gt;0.005,MIN($C$8,C466-F466),0)</f>
        <v/>
      </c>
      <c r="H466" s="15">
        <f>IF(C466&gt;0.005,C466-F466-G466,0)</f>
        <v/>
      </c>
      <c r="I466" s="13">
        <f>IF(A466="","",INT((449-1)/12)+1)</f>
        <v/>
      </c>
    </row>
    <row r="467">
      <c r="A467" s="13">
        <f>IF(C467&gt;0.005,450,"")</f>
        <v/>
      </c>
      <c r="B467" s="14">
        <f>IF(A467="","",EDATE($C$7,450-1))</f>
        <v/>
      </c>
      <c r="C467" s="15">
        <f>H466</f>
        <v/>
      </c>
      <c r="D467" s="15">
        <f>IF(C467&gt;0.005,IF(C467+E467-$C$10&lt;1,C467+E467,$C$10),0)</f>
        <v/>
      </c>
      <c r="E467" s="15">
        <f>IF(C467&gt;0.005,C467*$C$5/1200,0)</f>
        <v/>
      </c>
      <c r="F467" s="15">
        <f>IF(C467&gt;0.005,D467-E467,0)</f>
        <v/>
      </c>
      <c r="G467" s="15">
        <f>IF(C467&gt;0.005,MIN($C$8,C467-F467),0)</f>
        <v/>
      </c>
      <c r="H467" s="15">
        <f>IF(C467&gt;0.005,C467-F467-G467,0)</f>
        <v/>
      </c>
      <c r="I467" s="13">
        <f>IF(A467="","",INT((450-1)/12)+1)</f>
        <v/>
      </c>
    </row>
    <row r="468">
      <c r="A468" s="13">
        <f>IF(C468&gt;0.005,451,"")</f>
        <v/>
      </c>
      <c r="B468" s="14">
        <f>IF(A468="","",EDATE($C$7,451-1))</f>
        <v/>
      </c>
      <c r="C468" s="15">
        <f>H467</f>
        <v/>
      </c>
      <c r="D468" s="15">
        <f>IF(C468&gt;0.005,IF(C468+E468-$C$10&lt;1,C468+E468,$C$10),0)</f>
        <v/>
      </c>
      <c r="E468" s="15">
        <f>IF(C468&gt;0.005,C468*$C$5/1200,0)</f>
        <v/>
      </c>
      <c r="F468" s="15">
        <f>IF(C468&gt;0.005,D468-E468,0)</f>
        <v/>
      </c>
      <c r="G468" s="15">
        <f>IF(C468&gt;0.005,MIN($C$8,C468-F468),0)</f>
        <v/>
      </c>
      <c r="H468" s="15">
        <f>IF(C468&gt;0.005,C468-F468-G468,0)</f>
        <v/>
      </c>
      <c r="I468" s="13">
        <f>IF(A468="","",INT((451-1)/12)+1)</f>
        <v/>
      </c>
    </row>
    <row r="469">
      <c r="A469" s="13">
        <f>IF(C469&gt;0.005,452,"")</f>
        <v/>
      </c>
      <c r="B469" s="14">
        <f>IF(A469="","",EDATE($C$7,452-1))</f>
        <v/>
      </c>
      <c r="C469" s="15">
        <f>H468</f>
        <v/>
      </c>
      <c r="D469" s="15">
        <f>IF(C469&gt;0.005,IF(C469+E469-$C$10&lt;1,C469+E469,$C$10),0)</f>
        <v/>
      </c>
      <c r="E469" s="15">
        <f>IF(C469&gt;0.005,C469*$C$5/1200,0)</f>
        <v/>
      </c>
      <c r="F469" s="15">
        <f>IF(C469&gt;0.005,D469-E469,0)</f>
        <v/>
      </c>
      <c r="G469" s="15">
        <f>IF(C469&gt;0.005,MIN($C$8,C469-F469),0)</f>
        <v/>
      </c>
      <c r="H469" s="15">
        <f>IF(C469&gt;0.005,C469-F469-G469,0)</f>
        <v/>
      </c>
      <c r="I469" s="13">
        <f>IF(A469="","",INT((452-1)/12)+1)</f>
        <v/>
      </c>
    </row>
    <row r="470">
      <c r="A470" s="13">
        <f>IF(C470&gt;0.005,453,"")</f>
        <v/>
      </c>
      <c r="B470" s="14">
        <f>IF(A470="","",EDATE($C$7,453-1))</f>
        <v/>
      </c>
      <c r="C470" s="15">
        <f>H469</f>
        <v/>
      </c>
      <c r="D470" s="15">
        <f>IF(C470&gt;0.005,IF(C470+E470-$C$10&lt;1,C470+E470,$C$10),0)</f>
        <v/>
      </c>
      <c r="E470" s="15">
        <f>IF(C470&gt;0.005,C470*$C$5/1200,0)</f>
        <v/>
      </c>
      <c r="F470" s="15">
        <f>IF(C470&gt;0.005,D470-E470,0)</f>
        <v/>
      </c>
      <c r="G470" s="15">
        <f>IF(C470&gt;0.005,MIN($C$8,C470-F470),0)</f>
        <v/>
      </c>
      <c r="H470" s="15">
        <f>IF(C470&gt;0.005,C470-F470-G470,0)</f>
        <v/>
      </c>
      <c r="I470" s="13">
        <f>IF(A470="","",INT((453-1)/12)+1)</f>
        <v/>
      </c>
    </row>
    <row r="471">
      <c r="A471" s="13">
        <f>IF(C471&gt;0.005,454,"")</f>
        <v/>
      </c>
      <c r="B471" s="14">
        <f>IF(A471="","",EDATE($C$7,454-1))</f>
        <v/>
      </c>
      <c r="C471" s="15">
        <f>H470</f>
        <v/>
      </c>
      <c r="D471" s="15">
        <f>IF(C471&gt;0.005,IF(C471+E471-$C$10&lt;1,C471+E471,$C$10),0)</f>
        <v/>
      </c>
      <c r="E471" s="15">
        <f>IF(C471&gt;0.005,C471*$C$5/1200,0)</f>
        <v/>
      </c>
      <c r="F471" s="15">
        <f>IF(C471&gt;0.005,D471-E471,0)</f>
        <v/>
      </c>
      <c r="G471" s="15">
        <f>IF(C471&gt;0.005,MIN($C$8,C471-F471),0)</f>
        <v/>
      </c>
      <c r="H471" s="15">
        <f>IF(C471&gt;0.005,C471-F471-G471,0)</f>
        <v/>
      </c>
      <c r="I471" s="13">
        <f>IF(A471="","",INT((454-1)/12)+1)</f>
        <v/>
      </c>
    </row>
    <row r="472">
      <c r="A472" s="13">
        <f>IF(C472&gt;0.005,455,"")</f>
        <v/>
      </c>
      <c r="B472" s="14">
        <f>IF(A472="","",EDATE($C$7,455-1))</f>
        <v/>
      </c>
      <c r="C472" s="15">
        <f>H471</f>
        <v/>
      </c>
      <c r="D472" s="15">
        <f>IF(C472&gt;0.005,IF(C472+E472-$C$10&lt;1,C472+E472,$C$10),0)</f>
        <v/>
      </c>
      <c r="E472" s="15">
        <f>IF(C472&gt;0.005,C472*$C$5/1200,0)</f>
        <v/>
      </c>
      <c r="F472" s="15">
        <f>IF(C472&gt;0.005,D472-E472,0)</f>
        <v/>
      </c>
      <c r="G472" s="15">
        <f>IF(C472&gt;0.005,MIN($C$8,C472-F472),0)</f>
        <v/>
      </c>
      <c r="H472" s="15">
        <f>IF(C472&gt;0.005,C472-F472-G472,0)</f>
        <v/>
      </c>
      <c r="I472" s="13">
        <f>IF(A472="","",INT((455-1)/12)+1)</f>
        <v/>
      </c>
    </row>
    <row r="473">
      <c r="A473" s="13">
        <f>IF(C473&gt;0.005,456,"")</f>
        <v/>
      </c>
      <c r="B473" s="14">
        <f>IF(A473="","",EDATE($C$7,456-1))</f>
        <v/>
      </c>
      <c r="C473" s="15">
        <f>H472</f>
        <v/>
      </c>
      <c r="D473" s="15">
        <f>IF(C473&gt;0.005,IF(C473+E473-$C$10&lt;1,C473+E473,$C$10),0)</f>
        <v/>
      </c>
      <c r="E473" s="15">
        <f>IF(C473&gt;0.005,C473*$C$5/1200,0)</f>
        <v/>
      </c>
      <c r="F473" s="15">
        <f>IF(C473&gt;0.005,D473-E473,0)</f>
        <v/>
      </c>
      <c r="G473" s="15">
        <f>IF(C473&gt;0.005,MIN($C$8,C473-F473),0)</f>
        <v/>
      </c>
      <c r="H473" s="15">
        <f>IF(C473&gt;0.005,C473-F473-G473,0)</f>
        <v/>
      </c>
      <c r="I473" s="13">
        <f>IF(A473="","",INT((456-1)/12)+1)</f>
        <v/>
      </c>
    </row>
    <row r="474">
      <c r="A474" s="13">
        <f>IF(C474&gt;0.005,457,"")</f>
        <v/>
      </c>
      <c r="B474" s="14">
        <f>IF(A474="","",EDATE($C$7,457-1))</f>
        <v/>
      </c>
      <c r="C474" s="15">
        <f>H473</f>
        <v/>
      </c>
      <c r="D474" s="15">
        <f>IF(C474&gt;0.005,IF(C474+E474-$C$10&lt;1,C474+E474,$C$10),0)</f>
        <v/>
      </c>
      <c r="E474" s="15">
        <f>IF(C474&gt;0.005,C474*$C$5/1200,0)</f>
        <v/>
      </c>
      <c r="F474" s="15">
        <f>IF(C474&gt;0.005,D474-E474,0)</f>
        <v/>
      </c>
      <c r="G474" s="15">
        <f>IF(C474&gt;0.005,MIN($C$8,C474-F474),0)</f>
        <v/>
      </c>
      <c r="H474" s="15">
        <f>IF(C474&gt;0.005,C474-F474-G474,0)</f>
        <v/>
      </c>
      <c r="I474" s="13">
        <f>IF(A474="","",INT((457-1)/12)+1)</f>
        <v/>
      </c>
    </row>
    <row r="475">
      <c r="A475" s="13">
        <f>IF(C475&gt;0.005,458,"")</f>
        <v/>
      </c>
      <c r="B475" s="14">
        <f>IF(A475="","",EDATE($C$7,458-1))</f>
        <v/>
      </c>
      <c r="C475" s="15">
        <f>H474</f>
        <v/>
      </c>
      <c r="D475" s="15">
        <f>IF(C475&gt;0.005,IF(C475+E475-$C$10&lt;1,C475+E475,$C$10),0)</f>
        <v/>
      </c>
      <c r="E475" s="15">
        <f>IF(C475&gt;0.005,C475*$C$5/1200,0)</f>
        <v/>
      </c>
      <c r="F475" s="15">
        <f>IF(C475&gt;0.005,D475-E475,0)</f>
        <v/>
      </c>
      <c r="G475" s="15">
        <f>IF(C475&gt;0.005,MIN($C$8,C475-F475),0)</f>
        <v/>
      </c>
      <c r="H475" s="15">
        <f>IF(C475&gt;0.005,C475-F475-G475,0)</f>
        <v/>
      </c>
      <c r="I475" s="13">
        <f>IF(A475="","",INT((458-1)/12)+1)</f>
        <v/>
      </c>
    </row>
    <row r="476">
      <c r="A476" s="13">
        <f>IF(C476&gt;0.005,459,"")</f>
        <v/>
      </c>
      <c r="B476" s="14">
        <f>IF(A476="","",EDATE($C$7,459-1))</f>
        <v/>
      </c>
      <c r="C476" s="15">
        <f>H475</f>
        <v/>
      </c>
      <c r="D476" s="15">
        <f>IF(C476&gt;0.005,IF(C476+E476-$C$10&lt;1,C476+E476,$C$10),0)</f>
        <v/>
      </c>
      <c r="E476" s="15">
        <f>IF(C476&gt;0.005,C476*$C$5/1200,0)</f>
        <v/>
      </c>
      <c r="F476" s="15">
        <f>IF(C476&gt;0.005,D476-E476,0)</f>
        <v/>
      </c>
      <c r="G476" s="15">
        <f>IF(C476&gt;0.005,MIN($C$8,C476-F476),0)</f>
        <v/>
      </c>
      <c r="H476" s="15">
        <f>IF(C476&gt;0.005,C476-F476-G476,0)</f>
        <v/>
      </c>
      <c r="I476" s="13">
        <f>IF(A476="","",INT((459-1)/12)+1)</f>
        <v/>
      </c>
    </row>
    <row r="477">
      <c r="A477" s="13">
        <f>IF(C477&gt;0.005,460,"")</f>
        <v/>
      </c>
      <c r="B477" s="14">
        <f>IF(A477="","",EDATE($C$7,460-1))</f>
        <v/>
      </c>
      <c r="C477" s="15">
        <f>H476</f>
        <v/>
      </c>
      <c r="D477" s="15">
        <f>IF(C477&gt;0.005,IF(C477+E477-$C$10&lt;1,C477+E477,$C$10),0)</f>
        <v/>
      </c>
      <c r="E477" s="15">
        <f>IF(C477&gt;0.005,C477*$C$5/1200,0)</f>
        <v/>
      </c>
      <c r="F477" s="15">
        <f>IF(C477&gt;0.005,D477-E477,0)</f>
        <v/>
      </c>
      <c r="G477" s="15">
        <f>IF(C477&gt;0.005,MIN($C$8,C477-F477),0)</f>
        <v/>
      </c>
      <c r="H477" s="15">
        <f>IF(C477&gt;0.005,C477-F477-G477,0)</f>
        <v/>
      </c>
      <c r="I477" s="13">
        <f>IF(A477="","",INT((460-1)/12)+1)</f>
        <v/>
      </c>
    </row>
    <row r="478">
      <c r="A478" s="13">
        <f>IF(C478&gt;0.005,461,"")</f>
        <v/>
      </c>
      <c r="B478" s="14">
        <f>IF(A478="","",EDATE($C$7,461-1))</f>
        <v/>
      </c>
      <c r="C478" s="15">
        <f>H477</f>
        <v/>
      </c>
      <c r="D478" s="15">
        <f>IF(C478&gt;0.005,IF(C478+E478-$C$10&lt;1,C478+E478,$C$10),0)</f>
        <v/>
      </c>
      <c r="E478" s="15">
        <f>IF(C478&gt;0.005,C478*$C$5/1200,0)</f>
        <v/>
      </c>
      <c r="F478" s="15">
        <f>IF(C478&gt;0.005,D478-E478,0)</f>
        <v/>
      </c>
      <c r="G478" s="15">
        <f>IF(C478&gt;0.005,MIN($C$8,C478-F478),0)</f>
        <v/>
      </c>
      <c r="H478" s="15">
        <f>IF(C478&gt;0.005,C478-F478-G478,0)</f>
        <v/>
      </c>
      <c r="I478" s="13">
        <f>IF(A478="","",INT((461-1)/12)+1)</f>
        <v/>
      </c>
    </row>
    <row r="479">
      <c r="A479" s="13">
        <f>IF(C479&gt;0.005,462,"")</f>
        <v/>
      </c>
      <c r="B479" s="14">
        <f>IF(A479="","",EDATE($C$7,462-1))</f>
        <v/>
      </c>
      <c r="C479" s="15">
        <f>H478</f>
        <v/>
      </c>
      <c r="D479" s="15">
        <f>IF(C479&gt;0.005,IF(C479+E479-$C$10&lt;1,C479+E479,$C$10),0)</f>
        <v/>
      </c>
      <c r="E479" s="15">
        <f>IF(C479&gt;0.005,C479*$C$5/1200,0)</f>
        <v/>
      </c>
      <c r="F479" s="15">
        <f>IF(C479&gt;0.005,D479-E479,0)</f>
        <v/>
      </c>
      <c r="G479" s="15">
        <f>IF(C479&gt;0.005,MIN($C$8,C479-F479),0)</f>
        <v/>
      </c>
      <c r="H479" s="15">
        <f>IF(C479&gt;0.005,C479-F479-G479,0)</f>
        <v/>
      </c>
      <c r="I479" s="13">
        <f>IF(A479="","",INT((462-1)/12)+1)</f>
        <v/>
      </c>
    </row>
    <row r="480">
      <c r="A480" s="13">
        <f>IF(C480&gt;0.005,463,"")</f>
        <v/>
      </c>
      <c r="B480" s="14">
        <f>IF(A480="","",EDATE($C$7,463-1))</f>
        <v/>
      </c>
      <c r="C480" s="15">
        <f>H479</f>
        <v/>
      </c>
      <c r="D480" s="15">
        <f>IF(C480&gt;0.005,IF(C480+E480-$C$10&lt;1,C480+E480,$C$10),0)</f>
        <v/>
      </c>
      <c r="E480" s="15">
        <f>IF(C480&gt;0.005,C480*$C$5/1200,0)</f>
        <v/>
      </c>
      <c r="F480" s="15">
        <f>IF(C480&gt;0.005,D480-E480,0)</f>
        <v/>
      </c>
      <c r="G480" s="15">
        <f>IF(C480&gt;0.005,MIN($C$8,C480-F480),0)</f>
        <v/>
      </c>
      <c r="H480" s="15">
        <f>IF(C480&gt;0.005,C480-F480-G480,0)</f>
        <v/>
      </c>
      <c r="I480" s="13">
        <f>IF(A480="","",INT((463-1)/12)+1)</f>
        <v/>
      </c>
    </row>
    <row r="481">
      <c r="A481" s="13">
        <f>IF(C481&gt;0.005,464,"")</f>
        <v/>
      </c>
      <c r="B481" s="14">
        <f>IF(A481="","",EDATE($C$7,464-1))</f>
        <v/>
      </c>
      <c r="C481" s="15">
        <f>H480</f>
        <v/>
      </c>
      <c r="D481" s="15">
        <f>IF(C481&gt;0.005,IF(C481+E481-$C$10&lt;1,C481+E481,$C$10),0)</f>
        <v/>
      </c>
      <c r="E481" s="15">
        <f>IF(C481&gt;0.005,C481*$C$5/1200,0)</f>
        <v/>
      </c>
      <c r="F481" s="15">
        <f>IF(C481&gt;0.005,D481-E481,0)</f>
        <v/>
      </c>
      <c r="G481" s="15">
        <f>IF(C481&gt;0.005,MIN($C$8,C481-F481),0)</f>
        <v/>
      </c>
      <c r="H481" s="15">
        <f>IF(C481&gt;0.005,C481-F481-G481,0)</f>
        <v/>
      </c>
      <c r="I481" s="13">
        <f>IF(A481="","",INT((464-1)/12)+1)</f>
        <v/>
      </c>
    </row>
    <row r="482">
      <c r="A482" s="13">
        <f>IF(C482&gt;0.005,465,"")</f>
        <v/>
      </c>
      <c r="B482" s="14">
        <f>IF(A482="","",EDATE($C$7,465-1))</f>
        <v/>
      </c>
      <c r="C482" s="15">
        <f>H481</f>
        <v/>
      </c>
      <c r="D482" s="15">
        <f>IF(C482&gt;0.005,IF(C482+E482-$C$10&lt;1,C482+E482,$C$10),0)</f>
        <v/>
      </c>
      <c r="E482" s="15">
        <f>IF(C482&gt;0.005,C482*$C$5/1200,0)</f>
        <v/>
      </c>
      <c r="F482" s="15">
        <f>IF(C482&gt;0.005,D482-E482,0)</f>
        <v/>
      </c>
      <c r="G482" s="15">
        <f>IF(C482&gt;0.005,MIN($C$8,C482-F482),0)</f>
        <v/>
      </c>
      <c r="H482" s="15">
        <f>IF(C482&gt;0.005,C482-F482-G482,0)</f>
        <v/>
      </c>
      <c r="I482" s="13">
        <f>IF(A482="","",INT((465-1)/12)+1)</f>
        <v/>
      </c>
    </row>
    <row r="483">
      <c r="A483" s="13">
        <f>IF(C483&gt;0.005,466,"")</f>
        <v/>
      </c>
      <c r="B483" s="14">
        <f>IF(A483="","",EDATE($C$7,466-1))</f>
        <v/>
      </c>
      <c r="C483" s="15">
        <f>H482</f>
        <v/>
      </c>
      <c r="D483" s="15">
        <f>IF(C483&gt;0.005,IF(C483+E483-$C$10&lt;1,C483+E483,$C$10),0)</f>
        <v/>
      </c>
      <c r="E483" s="15">
        <f>IF(C483&gt;0.005,C483*$C$5/1200,0)</f>
        <v/>
      </c>
      <c r="F483" s="15">
        <f>IF(C483&gt;0.005,D483-E483,0)</f>
        <v/>
      </c>
      <c r="G483" s="15">
        <f>IF(C483&gt;0.005,MIN($C$8,C483-F483),0)</f>
        <v/>
      </c>
      <c r="H483" s="15">
        <f>IF(C483&gt;0.005,C483-F483-G483,0)</f>
        <v/>
      </c>
      <c r="I483" s="13">
        <f>IF(A483="","",INT((466-1)/12)+1)</f>
        <v/>
      </c>
    </row>
    <row r="484">
      <c r="A484" s="13">
        <f>IF(C484&gt;0.005,467,"")</f>
        <v/>
      </c>
      <c r="B484" s="14">
        <f>IF(A484="","",EDATE($C$7,467-1))</f>
        <v/>
      </c>
      <c r="C484" s="15">
        <f>H483</f>
        <v/>
      </c>
      <c r="D484" s="15">
        <f>IF(C484&gt;0.005,IF(C484+E484-$C$10&lt;1,C484+E484,$C$10),0)</f>
        <v/>
      </c>
      <c r="E484" s="15">
        <f>IF(C484&gt;0.005,C484*$C$5/1200,0)</f>
        <v/>
      </c>
      <c r="F484" s="15">
        <f>IF(C484&gt;0.005,D484-E484,0)</f>
        <v/>
      </c>
      <c r="G484" s="15">
        <f>IF(C484&gt;0.005,MIN($C$8,C484-F484),0)</f>
        <v/>
      </c>
      <c r="H484" s="15">
        <f>IF(C484&gt;0.005,C484-F484-G484,0)</f>
        <v/>
      </c>
      <c r="I484" s="13">
        <f>IF(A484="","",INT((467-1)/12)+1)</f>
        <v/>
      </c>
    </row>
    <row r="485">
      <c r="A485" s="13">
        <f>IF(C485&gt;0.005,468,"")</f>
        <v/>
      </c>
      <c r="B485" s="14">
        <f>IF(A485="","",EDATE($C$7,468-1))</f>
        <v/>
      </c>
      <c r="C485" s="15">
        <f>H484</f>
        <v/>
      </c>
      <c r="D485" s="15">
        <f>IF(C485&gt;0.005,IF(C485+E485-$C$10&lt;1,C485+E485,$C$10),0)</f>
        <v/>
      </c>
      <c r="E485" s="15">
        <f>IF(C485&gt;0.005,C485*$C$5/1200,0)</f>
        <v/>
      </c>
      <c r="F485" s="15">
        <f>IF(C485&gt;0.005,D485-E485,0)</f>
        <v/>
      </c>
      <c r="G485" s="15">
        <f>IF(C485&gt;0.005,MIN($C$8,C485-F485),0)</f>
        <v/>
      </c>
      <c r="H485" s="15">
        <f>IF(C485&gt;0.005,C485-F485-G485,0)</f>
        <v/>
      </c>
      <c r="I485" s="13">
        <f>IF(A485="","",INT((468-1)/12)+1)</f>
        <v/>
      </c>
    </row>
    <row r="486">
      <c r="A486" s="13">
        <f>IF(C486&gt;0.005,469,"")</f>
        <v/>
      </c>
      <c r="B486" s="14">
        <f>IF(A486="","",EDATE($C$7,469-1))</f>
        <v/>
      </c>
      <c r="C486" s="15">
        <f>H485</f>
        <v/>
      </c>
      <c r="D486" s="15">
        <f>IF(C486&gt;0.005,IF(C486+E486-$C$10&lt;1,C486+E486,$C$10),0)</f>
        <v/>
      </c>
      <c r="E486" s="15">
        <f>IF(C486&gt;0.005,C486*$C$5/1200,0)</f>
        <v/>
      </c>
      <c r="F486" s="15">
        <f>IF(C486&gt;0.005,D486-E486,0)</f>
        <v/>
      </c>
      <c r="G486" s="15">
        <f>IF(C486&gt;0.005,MIN($C$8,C486-F486),0)</f>
        <v/>
      </c>
      <c r="H486" s="15">
        <f>IF(C486&gt;0.005,C486-F486-G486,0)</f>
        <v/>
      </c>
      <c r="I486" s="13">
        <f>IF(A486="","",INT((469-1)/12)+1)</f>
        <v/>
      </c>
    </row>
    <row r="487">
      <c r="A487" s="13">
        <f>IF(C487&gt;0.005,470,"")</f>
        <v/>
      </c>
      <c r="B487" s="14">
        <f>IF(A487="","",EDATE($C$7,470-1))</f>
        <v/>
      </c>
      <c r="C487" s="15">
        <f>H486</f>
        <v/>
      </c>
      <c r="D487" s="15">
        <f>IF(C487&gt;0.005,IF(C487+E487-$C$10&lt;1,C487+E487,$C$10),0)</f>
        <v/>
      </c>
      <c r="E487" s="15">
        <f>IF(C487&gt;0.005,C487*$C$5/1200,0)</f>
        <v/>
      </c>
      <c r="F487" s="15">
        <f>IF(C487&gt;0.005,D487-E487,0)</f>
        <v/>
      </c>
      <c r="G487" s="15">
        <f>IF(C487&gt;0.005,MIN($C$8,C487-F487),0)</f>
        <v/>
      </c>
      <c r="H487" s="15">
        <f>IF(C487&gt;0.005,C487-F487-G487,0)</f>
        <v/>
      </c>
      <c r="I487" s="13">
        <f>IF(A487="","",INT((470-1)/12)+1)</f>
        <v/>
      </c>
    </row>
    <row r="488">
      <c r="A488" s="13">
        <f>IF(C488&gt;0.005,471,"")</f>
        <v/>
      </c>
      <c r="B488" s="14">
        <f>IF(A488="","",EDATE($C$7,471-1))</f>
        <v/>
      </c>
      <c r="C488" s="15">
        <f>H487</f>
        <v/>
      </c>
      <c r="D488" s="15">
        <f>IF(C488&gt;0.005,IF(C488+E488-$C$10&lt;1,C488+E488,$C$10),0)</f>
        <v/>
      </c>
      <c r="E488" s="15">
        <f>IF(C488&gt;0.005,C488*$C$5/1200,0)</f>
        <v/>
      </c>
      <c r="F488" s="15">
        <f>IF(C488&gt;0.005,D488-E488,0)</f>
        <v/>
      </c>
      <c r="G488" s="15">
        <f>IF(C488&gt;0.005,MIN($C$8,C488-F488),0)</f>
        <v/>
      </c>
      <c r="H488" s="15">
        <f>IF(C488&gt;0.005,C488-F488-G488,0)</f>
        <v/>
      </c>
      <c r="I488" s="13">
        <f>IF(A488="","",INT((471-1)/12)+1)</f>
        <v/>
      </c>
    </row>
    <row r="489">
      <c r="A489" s="13">
        <f>IF(C489&gt;0.005,472,"")</f>
        <v/>
      </c>
      <c r="B489" s="14">
        <f>IF(A489="","",EDATE($C$7,472-1))</f>
        <v/>
      </c>
      <c r="C489" s="15">
        <f>H488</f>
        <v/>
      </c>
      <c r="D489" s="15">
        <f>IF(C489&gt;0.005,IF(C489+E489-$C$10&lt;1,C489+E489,$C$10),0)</f>
        <v/>
      </c>
      <c r="E489" s="15">
        <f>IF(C489&gt;0.005,C489*$C$5/1200,0)</f>
        <v/>
      </c>
      <c r="F489" s="15">
        <f>IF(C489&gt;0.005,D489-E489,0)</f>
        <v/>
      </c>
      <c r="G489" s="15">
        <f>IF(C489&gt;0.005,MIN($C$8,C489-F489),0)</f>
        <v/>
      </c>
      <c r="H489" s="15">
        <f>IF(C489&gt;0.005,C489-F489-G489,0)</f>
        <v/>
      </c>
      <c r="I489" s="13">
        <f>IF(A489="","",INT((472-1)/12)+1)</f>
        <v/>
      </c>
    </row>
    <row r="490">
      <c r="A490" s="13">
        <f>IF(C490&gt;0.005,473,"")</f>
        <v/>
      </c>
      <c r="B490" s="14">
        <f>IF(A490="","",EDATE($C$7,473-1))</f>
        <v/>
      </c>
      <c r="C490" s="15">
        <f>H489</f>
        <v/>
      </c>
      <c r="D490" s="15">
        <f>IF(C490&gt;0.005,IF(C490+E490-$C$10&lt;1,C490+E490,$C$10),0)</f>
        <v/>
      </c>
      <c r="E490" s="15">
        <f>IF(C490&gt;0.005,C490*$C$5/1200,0)</f>
        <v/>
      </c>
      <c r="F490" s="15">
        <f>IF(C490&gt;0.005,D490-E490,0)</f>
        <v/>
      </c>
      <c r="G490" s="15">
        <f>IF(C490&gt;0.005,MIN($C$8,C490-F490),0)</f>
        <v/>
      </c>
      <c r="H490" s="15">
        <f>IF(C490&gt;0.005,C490-F490-G490,0)</f>
        <v/>
      </c>
      <c r="I490" s="13">
        <f>IF(A490="","",INT((473-1)/12)+1)</f>
        <v/>
      </c>
    </row>
    <row r="491">
      <c r="A491" s="13">
        <f>IF(C491&gt;0.005,474,"")</f>
        <v/>
      </c>
      <c r="B491" s="14">
        <f>IF(A491="","",EDATE($C$7,474-1))</f>
        <v/>
      </c>
      <c r="C491" s="15">
        <f>H490</f>
        <v/>
      </c>
      <c r="D491" s="15">
        <f>IF(C491&gt;0.005,IF(C491+E491-$C$10&lt;1,C491+E491,$C$10),0)</f>
        <v/>
      </c>
      <c r="E491" s="15">
        <f>IF(C491&gt;0.005,C491*$C$5/1200,0)</f>
        <v/>
      </c>
      <c r="F491" s="15">
        <f>IF(C491&gt;0.005,D491-E491,0)</f>
        <v/>
      </c>
      <c r="G491" s="15">
        <f>IF(C491&gt;0.005,MIN($C$8,C491-F491),0)</f>
        <v/>
      </c>
      <c r="H491" s="15">
        <f>IF(C491&gt;0.005,C491-F491-G491,0)</f>
        <v/>
      </c>
      <c r="I491" s="13">
        <f>IF(A491="","",INT((474-1)/12)+1)</f>
        <v/>
      </c>
    </row>
    <row r="492">
      <c r="A492" s="13">
        <f>IF(C492&gt;0.005,475,"")</f>
        <v/>
      </c>
      <c r="B492" s="14">
        <f>IF(A492="","",EDATE($C$7,475-1))</f>
        <v/>
      </c>
      <c r="C492" s="15">
        <f>H491</f>
        <v/>
      </c>
      <c r="D492" s="15">
        <f>IF(C492&gt;0.005,IF(C492+E492-$C$10&lt;1,C492+E492,$C$10),0)</f>
        <v/>
      </c>
      <c r="E492" s="15">
        <f>IF(C492&gt;0.005,C492*$C$5/1200,0)</f>
        <v/>
      </c>
      <c r="F492" s="15">
        <f>IF(C492&gt;0.005,D492-E492,0)</f>
        <v/>
      </c>
      <c r="G492" s="15">
        <f>IF(C492&gt;0.005,MIN($C$8,C492-F492),0)</f>
        <v/>
      </c>
      <c r="H492" s="15">
        <f>IF(C492&gt;0.005,C492-F492-G492,0)</f>
        <v/>
      </c>
      <c r="I492" s="13">
        <f>IF(A492="","",INT((475-1)/12)+1)</f>
        <v/>
      </c>
    </row>
    <row r="493">
      <c r="A493" s="13">
        <f>IF(C493&gt;0.005,476,"")</f>
        <v/>
      </c>
      <c r="B493" s="14">
        <f>IF(A493="","",EDATE($C$7,476-1))</f>
        <v/>
      </c>
      <c r="C493" s="15">
        <f>H492</f>
        <v/>
      </c>
      <c r="D493" s="15">
        <f>IF(C493&gt;0.005,IF(C493+E493-$C$10&lt;1,C493+E493,$C$10),0)</f>
        <v/>
      </c>
      <c r="E493" s="15">
        <f>IF(C493&gt;0.005,C493*$C$5/1200,0)</f>
        <v/>
      </c>
      <c r="F493" s="15">
        <f>IF(C493&gt;0.005,D493-E493,0)</f>
        <v/>
      </c>
      <c r="G493" s="15">
        <f>IF(C493&gt;0.005,MIN($C$8,C493-F493),0)</f>
        <v/>
      </c>
      <c r="H493" s="15">
        <f>IF(C493&gt;0.005,C493-F493-G493,0)</f>
        <v/>
      </c>
      <c r="I493" s="13">
        <f>IF(A493="","",INT((476-1)/12)+1)</f>
        <v/>
      </c>
    </row>
    <row r="494">
      <c r="A494" s="13">
        <f>IF(C494&gt;0.005,477,"")</f>
        <v/>
      </c>
      <c r="B494" s="14">
        <f>IF(A494="","",EDATE($C$7,477-1))</f>
        <v/>
      </c>
      <c r="C494" s="15">
        <f>H493</f>
        <v/>
      </c>
      <c r="D494" s="15">
        <f>IF(C494&gt;0.005,IF(C494+E494-$C$10&lt;1,C494+E494,$C$10),0)</f>
        <v/>
      </c>
      <c r="E494" s="15">
        <f>IF(C494&gt;0.005,C494*$C$5/1200,0)</f>
        <v/>
      </c>
      <c r="F494" s="15">
        <f>IF(C494&gt;0.005,D494-E494,0)</f>
        <v/>
      </c>
      <c r="G494" s="15">
        <f>IF(C494&gt;0.005,MIN($C$8,C494-F494),0)</f>
        <v/>
      </c>
      <c r="H494" s="15">
        <f>IF(C494&gt;0.005,C494-F494-G494,0)</f>
        <v/>
      </c>
      <c r="I494" s="13">
        <f>IF(A494="","",INT((477-1)/12)+1)</f>
        <v/>
      </c>
    </row>
    <row r="495">
      <c r="A495" s="13">
        <f>IF(C495&gt;0.005,478,"")</f>
        <v/>
      </c>
      <c r="B495" s="14">
        <f>IF(A495="","",EDATE($C$7,478-1))</f>
        <v/>
      </c>
      <c r="C495" s="15">
        <f>H494</f>
        <v/>
      </c>
      <c r="D495" s="15">
        <f>IF(C495&gt;0.005,IF(C495+E495-$C$10&lt;1,C495+E495,$C$10),0)</f>
        <v/>
      </c>
      <c r="E495" s="15">
        <f>IF(C495&gt;0.005,C495*$C$5/1200,0)</f>
        <v/>
      </c>
      <c r="F495" s="15">
        <f>IF(C495&gt;0.005,D495-E495,0)</f>
        <v/>
      </c>
      <c r="G495" s="15">
        <f>IF(C495&gt;0.005,MIN($C$8,C495-F495),0)</f>
        <v/>
      </c>
      <c r="H495" s="15">
        <f>IF(C495&gt;0.005,C495-F495-G495,0)</f>
        <v/>
      </c>
      <c r="I495" s="13">
        <f>IF(A495="","",INT((478-1)/12)+1)</f>
        <v/>
      </c>
    </row>
    <row r="496">
      <c r="A496" s="13">
        <f>IF(C496&gt;0.005,479,"")</f>
        <v/>
      </c>
      <c r="B496" s="14">
        <f>IF(A496="","",EDATE($C$7,479-1))</f>
        <v/>
      </c>
      <c r="C496" s="15">
        <f>H495</f>
        <v/>
      </c>
      <c r="D496" s="15">
        <f>IF(C496&gt;0.005,IF(C496+E496-$C$10&lt;1,C496+E496,$C$10),0)</f>
        <v/>
      </c>
      <c r="E496" s="15">
        <f>IF(C496&gt;0.005,C496*$C$5/1200,0)</f>
        <v/>
      </c>
      <c r="F496" s="15">
        <f>IF(C496&gt;0.005,D496-E496,0)</f>
        <v/>
      </c>
      <c r="G496" s="15">
        <f>IF(C496&gt;0.005,MIN($C$8,C496-F496),0)</f>
        <v/>
      </c>
      <c r="H496" s="15">
        <f>IF(C496&gt;0.005,C496-F496-G496,0)</f>
        <v/>
      </c>
      <c r="I496" s="13">
        <f>IF(A496="","",INT((479-1)/12)+1)</f>
        <v/>
      </c>
    </row>
    <row r="497">
      <c r="A497" s="13">
        <f>IF(C497&gt;0.005,480,"")</f>
        <v/>
      </c>
      <c r="B497" s="14">
        <f>IF(A497="","",EDATE($C$7,480-1))</f>
        <v/>
      </c>
      <c r="C497" s="15">
        <f>H496</f>
        <v/>
      </c>
      <c r="D497" s="15">
        <f>IF(C497&gt;0.005,IF(C497+E497-$C$10&lt;1,C497+E497,$C$10),0)</f>
        <v/>
      </c>
      <c r="E497" s="15">
        <f>IF(C497&gt;0.005,C497*$C$5/1200,0)</f>
        <v/>
      </c>
      <c r="F497" s="15">
        <f>IF(C497&gt;0.005,D497-E497,0)</f>
        <v/>
      </c>
      <c r="G497" s="15">
        <f>IF(C497&gt;0.005,MIN($C$8,C497-F497),0)</f>
        <v/>
      </c>
      <c r="H497" s="15">
        <f>IF(C497&gt;0.005,C497-F497-G497,0)</f>
        <v/>
      </c>
      <c r="I497" s="13">
        <f>IF(A497="","",INT((480-1)/12)+1)</f>
        <v/>
      </c>
    </row>
  </sheetData>
  <conditionalFormatting sqref="A18:I497">
    <cfRule type="expression" priority="1" dxfId="0">
      <formula>AND(ISNUMBER($A18),MOD($A18,12)=0)</formula>
    </cfRule>
  </conditionalFormatting>
  <dataValidations count="4">
    <dataValidation sqref="C4" showDropDown="0" showInputMessage="0" showErrorMessage="1" allowBlank="0" errorTitle="Check this number" error="Enter an amount between ₹10,000 and ₹100 crore." type="decimal" operator="between">
      <formula1>10000</formula1>
      <formula2>1000000000</formula2>
    </dataValidation>
    <dataValidation sqref="C5" showDropDown="0" showInputMessage="0" showErrorMessage="1" allowBlank="0" errorTitle="Check this number" error="Enter a yearly rate between 0 and 30." type="decimal" operator="between">
      <formula1>0</formula1>
      <formula2>30</formula2>
    </dataValidation>
    <dataValidation sqref="C6" showDropDown="0" showInputMessage="0" showErrorMessage="1" allowBlank="0" errorTitle="Check this number" error="Enter a tenure between 1 and 40 years." type="decimal" operator="between">
      <formula1>1</formula1>
      <formula2>40</formula2>
    </dataValidation>
    <dataValidation sqref="C8" showDropDown="0" showInputMessage="0" showErrorMessage="1" allowBlank="0" errorTitle="Check this number" error="Enter 0 or a positive amount." type="decimal" operator="between">
      <formula1>0</formula1>
      <formula2>1000000000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8" customWidth="1" min="3" max="3"/>
    <col width="16" customWidth="1" min="4" max="4"/>
    <col width="20" customWidth="1" min="5" max="5"/>
  </cols>
  <sheetData>
    <row r="1">
      <c r="A1" s="16" t="inlineStr">
        <is>
          <t>Year by year</t>
        </is>
      </c>
    </row>
    <row r="2">
      <c r="A2" s="2" t="inlineStr">
        <is>
          <t>Early years are mostly interest. Look at how the split flips as the years pass.</t>
        </is>
      </c>
    </row>
    <row r="4">
      <c r="A4" s="12" t="inlineStr">
        <is>
          <t>Year</t>
        </is>
      </c>
      <c r="B4" s="12" t="inlineStr">
        <is>
          <t>Interest paid</t>
        </is>
      </c>
      <c r="C4" s="12" t="inlineStr">
        <is>
          <t>Principal repaid</t>
        </is>
      </c>
      <c r="D4" s="12" t="inlineStr">
        <is>
          <t>Total paid</t>
        </is>
      </c>
      <c r="E4" s="12" t="inlineStr">
        <is>
          <t>Balance at year end</t>
        </is>
      </c>
    </row>
    <row r="5">
      <c r="A5" s="13" t="n">
        <v>1</v>
      </c>
      <c r="B5" s="15">
        <f>SUMIFS(Schedule!$E$18:$E$497,Schedule!$I$18:$I$497,A5)</f>
        <v/>
      </c>
      <c r="C5" s="15">
        <f>SUMIFS(Schedule!$F$18:$F$497,Schedule!$I$18:$I$497,A5)+SUMIFS(Schedule!$G$18:$G$497,Schedule!$I$18:$I$497,A5)</f>
        <v/>
      </c>
      <c r="D5" s="15">
        <f>B5+C5</f>
        <v/>
      </c>
      <c r="E5" s="15">
        <f>IFERROR(INDEX(Schedule!$H$18:$H$497,MATCH(A5*12,Schedule!$A$18:$A$497,0)),0)</f>
        <v/>
      </c>
    </row>
    <row r="6">
      <c r="A6" s="13" t="n">
        <v>2</v>
      </c>
      <c r="B6" s="15">
        <f>SUMIFS(Schedule!$E$18:$E$497,Schedule!$I$18:$I$497,A6)</f>
        <v/>
      </c>
      <c r="C6" s="15">
        <f>SUMIFS(Schedule!$F$18:$F$497,Schedule!$I$18:$I$497,A6)+SUMIFS(Schedule!$G$18:$G$497,Schedule!$I$18:$I$497,A6)</f>
        <v/>
      </c>
      <c r="D6" s="15">
        <f>B6+C6</f>
        <v/>
      </c>
      <c r="E6" s="15">
        <f>IFERROR(INDEX(Schedule!$H$18:$H$497,MATCH(A6*12,Schedule!$A$18:$A$497,0)),0)</f>
        <v/>
      </c>
    </row>
    <row r="7">
      <c r="A7" s="13" t="n">
        <v>3</v>
      </c>
      <c r="B7" s="15">
        <f>SUMIFS(Schedule!$E$18:$E$497,Schedule!$I$18:$I$497,A7)</f>
        <v/>
      </c>
      <c r="C7" s="15">
        <f>SUMIFS(Schedule!$F$18:$F$497,Schedule!$I$18:$I$497,A7)+SUMIFS(Schedule!$G$18:$G$497,Schedule!$I$18:$I$497,A7)</f>
        <v/>
      </c>
      <c r="D7" s="15">
        <f>B7+C7</f>
        <v/>
      </c>
      <c r="E7" s="15">
        <f>IFERROR(INDEX(Schedule!$H$18:$H$497,MATCH(A7*12,Schedule!$A$18:$A$497,0)),0)</f>
        <v/>
      </c>
    </row>
    <row r="8">
      <c r="A8" s="13" t="n">
        <v>4</v>
      </c>
      <c r="B8" s="15">
        <f>SUMIFS(Schedule!$E$18:$E$497,Schedule!$I$18:$I$497,A8)</f>
        <v/>
      </c>
      <c r="C8" s="15">
        <f>SUMIFS(Schedule!$F$18:$F$497,Schedule!$I$18:$I$497,A8)+SUMIFS(Schedule!$G$18:$G$497,Schedule!$I$18:$I$497,A8)</f>
        <v/>
      </c>
      <c r="D8" s="15">
        <f>B8+C8</f>
        <v/>
      </c>
      <c r="E8" s="15">
        <f>IFERROR(INDEX(Schedule!$H$18:$H$497,MATCH(A8*12,Schedule!$A$18:$A$497,0)),0)</f>
        <v/>
      </c>
    </row>
    <row r="9">
      <c r="A9" s="13" t="n">
        <v>5</v>
      </c>
      <c r="B9" s="15">
        <f>SUMIFS(Schedule!$E$18:$E$497,Schedule!$I$18:$I$497,A9)</f>
        <v/>
      </c>
      <c r="C9" s="15">
        <f>SUMIFS(Schedule!$F$18:$F$497,Schedule!$I$18:$I$497,A9)+SUMIFS(Schedule!$G$18:$G$497,Schedule!$I$18:$I$497,A9)</f>
        <v/>
      </c>
      <c r="D9" s="15">
        <f>B9+C9</f>
        <v/>
      </c>
      <c r="E9" s="15">
        <f>IFERROR(INDEX(Schedule!$H$18:$H$497,MATCH(A9*12,Schedule!$A$18:$A$497,0)),0)</f>
        <v/>
      </c>
    </row>
    <row r="10">
      <c r="A10" s="13" t="n">
        <v>6</v>
      </c>
      <c r="B10" s="15">
        <f>SUMIFS(Schedule!$E$18:$E$497,Schedule!$I$18:$I$497,A10)</f>
        <v/>
      </c>
      <c r="C10" s="15">
        <f>SUMIFS(Schedule!$F$18:$F$497,Schedule!$I$18:$I$497,A10)+SUMIFS(Schedule!$G$18:$G$497,Schedule!$I$18:$I$497,A10)</f>
        <v/>
      </c>
      <c r="D10" s="15">
        <f>B10+C10</f>
        <v/>
      </c>
      <c r="E10" s="15">
        <f>IFERROR(INDEX(Schedule!$H$18:$H$497,MATCH(A10*12,Schedule!$A$18:$A$497,0)),0)</f>
        <v/>
      </c>
    </row>
    <row r="11">
      <c r="A11" s="13" t="n">
        <v>7</v>
      </c>
      <c r="B11" s="15">
        <f>SUMIFS(Schedule!$E$18:$E$497,Schedule!$I$18:$I$497,A11)</f>
        <v/>
      </c>
      <c r="C11" s="15">
        <f>SUMIFS(Schedule!$F$18:$F$497,Schedule!$I$18:$I$497,A11)+SUMIFS(Schedule!$G$18:$G$497,Schedule!$I$18:$I$497,A11)</f>
        <v/>
      </c>
      <c r="D11" s="15">
        <f>B11+C11</f>
        <v/>
      </c>
      <c r="E11" s="15">
        <f>IFERROR(INDEX(Schedule!$H$18:$H$497,MATCH(A11*12,Schedule!$A$18:$A$497,0)),0)</f>
        <v/>
      </c>
    </row>
    <row r="12">
      <c r="A12" s="13" t="n">
        <v>8</v>
      </c>
      <c r="B12" s="15">
        <f>SUMIFS(Schedule!$E$18:$E$497,Schedule!$I$18:$I$497,A12)</f>
        <v/>
      </c>
      <c r="C12" s="15">
        <f>SUMIFS(Schedule!$F$18:$F$497,Schedule!$I$18:$I$497,A12)+SUMIFS(Schedule!$G$18:$G$497,Schedule!$I$18:$I$497,A12)</f>
        <v/>
      </c>
      <c r="D12" s="15">
        <f>B12+C12</f>
        <v/>
      </c>
      <c r="E12" s="15">
        <f>IFERROR(INDEX(Schedule!$H$18:$H$497,MATCH(A12*12,Schedule!$A$18:$A$497,0)),0)</f>
        <v/>
      </c>
    </row>
    <row r="13">
      <c r="A13" s="13" t="n">
        <v>9</v>
      </c>
      <c r="B13" s="15">
        <f>SUMIFS(Schedule!$E$18:$E$497,Schedule!$I$18:$I$497,A13)</f>
        <v/>
      </c>
      <c r="C13" s="15">
        <f>SUMIFS(Schedule!$F$18:$F$497,Schedule!$I$18:$I$497,A13)+SUMIFS(Schedule!$G$18:$G$497,Schedule!$I$18:$I$497,A13)</f>
        <v/>
      </c>
      <c r="D13" s="15">
        <f>B13+C13</f>
        <v/>
      </c>
      <c r="E13" s="15">
        <f>IFERROR(INDEX(Schedule!$H$18:$H$497,MATCH(A13*12,Schedule!$A$18:$A$497,0)),0)</f>
        <v/>
      </c>
    </row>
    <row r="14">
      <c r="A14" s="13" t="n">
        <v>10</v>
      </c>
      <c r="B14" s="15">
        <f>SUMIFS(Schedule!$E$18:$E$497,Schedule!$I$18:$I$497,A14)</f>
        <v/>
      </c>
      <c r="C14" s="15">
        <f>SUMIFS(Schedule!$F$18:$F$497,Schedule!$I$18:$I$497,A14)+SUMIFS(Schedule!$G$18:$G$497,Schedule!$I$18:$I$497,A14)</f>
        <v/>
      </c>
      <c r="D14" s="15">
        <f>B14+C14</f>
        <v/>
      </c>
      <c r="E14" s="15">
        <f>IFERROR(INDEX(Schedule!$H$18:$H$497,MATCH(A14*12,Schedule!$A$18:$A$497,0)),0)</f>
        <v/>
      </c>
    </row>
    <row r="15">
      <c r="A15" s="13" t="n">
        <v>11</v>
      </c>
      <c r="B15" s="15">
        <f>SUMIFS(Schedule!$E$18:$E$497,Schedule!$I$18:$I$497,A15)</f>
        <v/>
      </c>
      <c r="C15" s="15">
        <f>SUMIFS(Schedule!$F$18:$F$497,Schedule!$I$18:$I$497,A15)+SUMIFS(Schedule!$G$18:$G$497,Schedule!$I$18:$I$497,A15)</f>
        <v/>
      </c>
      <c r="D15" s="15">
        <f>B15+C15</f>
        <v/>
      </c>
      <c r="E15" s="15">
        <f>IFERROR(INDEX(Schedule!$H$18:$H$497,MATCH(A15*12,Schedule!$A$18:$A$497,0)),0)</f>
        <v/>
      </c>
    </row>
    <row r="16">
      <c r="A16" s="13" t="n">
        <v>12</v>
      </c>
      <c r="B16" s="15">
        <f>SUMIFS(Schedule!$E$18:$E$497,Schedule!$I$18:$I$497,A16)</f>
        <v/>
      </c>
      <c r="C16" s="15">
        <f>SUMIFS(Schedule!$F$18:$F$497,Schedule!$I$18:$I$497,A16)+SUMIFS(Schedule!$G$18:$G$497,Schedule!$I$18:$I$497,A16)</f>
        <v/>
      </c>
      <c r="D16" s="15">
        <f>B16+C16</f>
        <v/>
      </c>
      <c r="E16" s="15">
        <f>IFERROR(INDEX(Schedule!$H$18:$H$497,MATCH(A16*12,Schedule!$A$18:$A$497,0)),0)</f>
        <v/>
      </c>
    </row>
    <row r="17">
      <c r="A17" s="13" t="n">
        <v>13</v>
      </c>
      <c r="B17" s="15">
        <f>SUMIFS(Schedule!$E$18:$E$497,Schedule!$I$18:$I$497,A17)</f>
        <v/>
      </c>
      <c r="C17" s="15">
        <f>SUMIFS(Schedule!$F$18:$F$497,Schedule!$I$18:$I$497,A17)+SUMIFS(Schedule!$G$18:$G$497,Schedule!$I$18:$I$497,A17)</f>
        <v/>
      </c>
      <c r="D17" s="15">
        <f>B17+C17</f>
        <v/>
      </c>
      <c r="E17" s="15">
        <f>IFERROR(INDEX(Schedule!$H$18:$H$497,MATCH(A17*12,Schedule!$A$18:$A$497,0)),0)</f>
        <v/>
      </c>
    </row>
    <row r="18">
      <c r="A18" s="13" t="n">
        <v>14</v>
      </c>
      <c r="B18" s="15">
        <f>SUMIFS(Schedule!$E$18:$E$497,Schedule!$I$18:$I$497,A18)</f>
        <v/>
      </c>
      <c r="C18" s="15">
        <f>SUMIFS(Schedule!$F$18:$F$497,Schedule!$I$18:$I$497,A18)+SUMIFS(Schedule!$G$18:$G$497,Schedule!$I$18:$I$497,A18)</f>
        <v/>
      </c>
      <c r="D18" s="15">
        <f>B18+C18</f>
        <v/>
      </c>
      <c r="E18" s="15">
        <f>IFERROR(INDEX(Schedule!$H$18:$H$497,MATCH(A18*12,Schedule!$A$18:$A$497,0)),0)</f>
        <v/>
      </c>
    </row>
    <row r="19">
      <c r="A19" s="13" t="n">
        <v>15</v>
      </c>
      <c r="B19" s="15">
        <f>SUMIFS(Schedule!$E$18:$E$497,Schedule!$I$18:$I$497,A19)</f>
        <v/>
      </c>
      <c r="C19" s="15">
        <f>SUMIFS(Schedule!$F$18:$F$497,Schedule!$I$18:$I$497,A19)+SUMIFS(Schedule!$G$18:$G$497,Schedule!$I$18:$I$497,A19)</f>
        <v/>
      </c>
      <c r="D19" s="15">
        <f>B19+C19</f>
        <v/>
      </c>
      <c r="E19" s="15">
        <f>IFERROR(INDEX(Schedule!$H$18:$H$497,MATCH(A19*12,Schedule!$A$18:$A$497,0)),0)</f>
        <v/>
      </c>
    </row>
    <row r="20">
      <c r="A20" s="13" t="n">
        <v>16</v>
      </c>
      <c r="B20" s="15">
        <f>SUMIFS(Schedule!$E$18:$E$497,Schedule!$I$18:$I$497,A20)</f>
        <v/>
      </c>
      <c r="C20" s="15">
        <f>SUMIFS(Schedule!$F$18:$F$497,Schedule!$I$18:$I$497,A20)+SUMIFS(Schedule!$G$18:$G$497,Schedule!$I$18:$I$497,A20)</f>
        <v/>
      </c>
      <c r="D20" s="15">
        <f>B20+C20</f>
        <v/>
      </c>
      <c r="E20" s="15">
        <f>IFERROR(INDEX(Schedule!$H$18:$H$497,MATCH(A20*12,Schedule!$A$18:$A$497,0)),0)</f>
        <v/>
      </c>
    </row>
    <row r="21">
      <c r="A21" s="13" t="n">
        <v>17</v>
      </c>
      <c r="B21" s="15">
        <f>SUMIFS(Schedule!$E$18:$E$497,Schedule!$I$18:$I$497,A21)</f>
        <v/>
      </c>
      <c r="C21" s="15">
        <f>SUMIFS(Schedule!$F$18:$F$497,Schedule!$I$18:$I$497,A21)+SUMIFS(Schedule!$G$18:$G$497,Schedule!$I$18:$I$497,A21)</f>
        <v/>
      </c>
      <c r="D21" s="15">
        <f>B21+C21</f>
        <v/>
      </c>
      <c r="E21" s="15">
        <f>IFERROR(INDEX(Schedule!$H$18:$H$497,MATCH(A21*12,Schedule!$A$18:$A$497,0)),0)</f>
        <v/>
      </c>
    </row>
    <row r="22">
      <c r="A22" s="13" t="n">
        <v>18</v>
      </c>
      <c r="B22" s="15">
        <f>SUMIFS(Schedule!$E$18:$E$497,Schedule!$I$18:$I$497,A22)</f>
        <v/>
      </c>
      <c r="C22" s="15">
        <f>SUMIFS(Schedule!$F$18:$F$497,Schedule!$I$18:$I$497,A22)+SUMIFS(Schedule!$G$18:$G$497,Schedule!$I$18:$I$497,A22)</f>
        <v/>
      </c>
      <c r="D22" s="15">
        <f>B22+C22</f>
        <v/>
      </c>
      <c r="E22" s="15">
        <f>IFERROR(INDEX(Schedule!$H$18:$H$497,MATCH(A22*12,Schedule!$A$18:$A$497,0)),0)</f>
        <v/>
      </c>
    </row>
    <row r="23">
      <c r="A23" s="13" t="n">
        <v>19</v>
      </c>
      <c r="B23" s="15">
        <f>SUMIFS(Schedule!$E$18:$E$497,Schedule!$I$18:$I$497,A23)</f>
        <v/>
      </c>
      <c r="C23" s="15">
        <f>SUMIFS(Schedule!$F$18:$F$497,Schedule!$I$18:$I$497,A23)+SUMIFS(Schedule!$G$18:$G$497,Schedule!$I$18:$I$497,A23)</f>
        <v/>
      </c>
      <c r="D23" s="15">
        <f>B23+C23</f>
        <v/>
      </c>
      <c r="E23" s="15">
        <f>IFERROR(INDEX(Schedule!$H$18:$H$497,MATCH(A23*12,Schedule!$A$18:$A$497,0)),0)</f>
        <v/>
      </c>
    </row>
    <row r="24">
      <c r="A24" s="13" t="n">
        <v>20</v>
      </c>
      <c r="B24" s="15">
        <f>SUMIFS(Schedule!$E$18:$E$497,Schedule!$I$18:$I$497,A24)</f>
        <v/>
      </c>
      <c r="C24" s="15">
        <f>SUMIFS(Schedule!$F$18:$F$497,Schedule!$I$18:$I$497,A24)+SUMIFS(Schedule!$G$18:$G$497,Schedule!$I$18:$I$497,A24)</f>
        <v/>
      </c>
      <c r="D24" s="15">
        <f>B24+C24</f>
        <v/>
      </c>
      <c r="E24" s="15">
        <f>IFERROR(INDEX(Schedule!$H$18:$H$497,MATCH(A24*12,Schedule!$A$18:$A$497,0)),0)</f>
        <v/>
      </c>
    </row>
    <row r="25">
      <c r="A25" s="13" t="n">
        <v>21</v>
      </c>
      <c r="B25" s="15">
        <f>SUMIFS(Schedule!$E$18:$E$497,Schedule!$I$18:$I$497,A25)</f>
        <v/>
      </c>
      <c r="C25" s="15">
        <f>SUMIFS(Schedule!$F$18:$F$497,Schedule!$I$18:$I$497,A25)+SUMIFS(Schedule!$G$18:$G$497,Schedule!$I$18:$I$497,A25)</f>
        <v/>
      </c>
      <c r="D25" s="15">
        <f>B25+C25</f>
        <v/>
      </c>
      <c r="E25" s="15">
        <f>IFERROR(INDEX(Schedule!$H$18:$H$497,MATCH(A25*12,Schedule!$A$18:$A$497,0)),0)</f>
        <v/>
      </c>
    </row>
    <row r="26">
      <c r="A26" s="13" t="n">
        <v>22</v>
      </c>
      <c r="B26" s="15">
        <f>SUMIFS(Schedule!$E$18:$E$497,Schedule!$I$18:$I$497,A26)</f>
        <v/>
      </c>
      <c r="C26" s="15">
        <f>SUMIFS(Schedule!$F$18:$F$497,Schedule!$I$18:$I$497,A26)+SUMIFS(Schedule!$G$18:$G$497,Schedule!$I$18:$I$497,A26)</f>
        <v/>
      </c>
      <c r="D26" s="15">
        <f>B26+C26</f>
        <v/>
      </c>
      <c r="E26" s="15">
        <f>IFERROR(INDEX(Schedule!$H$18:$H$497,MATCH(A26*12,Schedule!$A$18:$A$497,0)),0)</f>
        <v/>
      </c>
    </row>
    <row r="27">
      <c r="A27" s="13" t="n">
        <v>23</v>
      </c>
      <c r="B27" s="15">
        <f>SUMIFS(Schedule!$E$18:$E$497,Schedule!$I$18:$I$497,A27)</f>
        <v/>
      </c>
      <c r="C27" s="15">
        <f>SUMIFS(Schedule!$F$18:$F$497,Schedule!$I$18:$I$497,A27)+SUMIFS(Schedule!$G$18:$G$497,Schedule!$I$18:$I$497,A27)</f>
        <v/>
      </c>
      <c r="D27" s="15">
        <f>B27+C27</f>
        <v/>
      </c>
      <c r="E27" s="15">
        <f>IFERROR(INDEX(Schedule!$H$18:$H$497,MATCH(A27*12,Schedule!$A$18:$A$497,0)),0)</f>
        <v/>
      </c>
    </row>
    <row r="28">
      <c r="A28" s="13" t="n">
        <v>24</v>
      </c>
      <c r="B28" s="15">
        <f>SUMIFS(Schedule!$E$18:$E$497,Schedule!$I$18:$I$497,A28)</f>
        <v/>
      </c>
      <c r="C28" s="15">
        <f>SUMIFS(Schedule!$F$18:$F$497,Schedule!$I$18:$I$497,A28)+SUMIFS(Schedule!$G$18:$G$497,Schedule!$I$18:$I$497,A28)</f>
        <v/>
      </c>
      <c r="D28" s="15">
        <f>B28+C28</f>
        <v/>
      </c>
      <c r="E28" s="15">
        <f>IFERROR(INDEX(Schedule!$H$18:$H$497,MATCH(A28*12,Schedule!$A$18:$A$497,0)),0)</f>
        <v/>
      </c>
    </row>
    <row r="29">
      <c r="A29" s="13" t="n">
        <v>25</v>
      </c>
      <c r="B29" s="15">
        <f>SUMIFS(Schedule!$E$18:$E$497,Schedule!$I$18:$I$497,A29)</f>
        <v/>
      </c>
      <c r="C29" s="15">
        <f>SUMIFS(Schedule!$F$18:$F$497,Schedule!$I$18:$I$497,A29)+SUMIFS(Schedule!$G$18:$G$497,Schedule!$I$18:$I$497,A29)</f>
        <v/>
      </c>
      <c r="D29" s="15">
        <f>B29+C29</f>
        <v/>
      </c>
      <c r="E29" s="15">
        <f>IFERROR(INDEX(Schedule!$H$18:$H$497,MATCH(A29*12,Schedule!$A$18:$A$497,0)),0)</f>
        <v/>
      </c>
    </row>
    <row r="30">
      <c r="A30" s="13" t="n">
        <v>26</v>
      </c>
      <c r="B30" s="15">
        <f>SUMIFS(Schedule!$E$18:$E$497,Schedule!$I$18:$I$497,A30)</f>
        <v/>
      </c>
      <c r="C30" s="15">
        <f>SUMIFS(Schedule!$F$18:$F$497,Schedule!$I$18:$I$497,A30)+SUMIFS(Schedule!$G$18:$G$497,Schedule!$I$18:$I$497,A30)</f>
        <v/>
      </c>
      <c r="D30" s="15">
        <f>B30+C30</f>
        <v/>
      </c>
      <c r="E30" s="15">
        <f>IFERROR(INDEX(Schedule!$H$18:$H$497,MATCH(A30*12,Schedule!$A$18:$A$497,0)),0)</f>
        <v/>
      </c>
    </row>
    <row r="31">
      <c r="A31" s="13" t="n">
        <v>27</v>
      </c>
      <c r="B31" s="15">
        <f>SUMIFS(Schedule!$E$18:$E$497,Schedule!$I$18:$I$497,A31)</f>
        <v/>
      </c>
      <c r="C31" s="15">
        <f>SUMIFS(Schedule!$F$18:$F$497,Schedule!$I$18:$I$497,A31)+SUMIFS(Schedule!$G$18:$G$497,Schedule!$I$18:$I$497,A31)</f>
        <v/>
      </c>
      <c r="D31" s="15">
        <f>B31+C31</f>
        <v/>
      </c>
      <c r="E31" s="15">
        <f>IFERROR(INDEX(Schedule!$H$18:$H$497,MATCH(A31*12,Schedule!$A$18:$A$497,0)),0)</f>
        <v/>
      </c>
    </row>
    <row r="32">
      <c r="A32" s="13" t="n">
        <v>28</v>
      </c>
      <c r="B32" s="15">
        <f>SUMIFS(Schedule!$E$18:$E$497,Schedule!$I$18:$I$497,A32)</f>
        <v/>
      </c>
      <c r="C32" s="15">
        <f>SUMIFS(Schedule!$F$18:$F$497,Schedule!$I$18:$I$497,A32)+SUMIFS(Schedule!$G$18:$G$497,Schedule!$I$18:$I$497,A32)</f>
        <v/>
      </c>
      <c r="D32" s="15">
        <f>B32+C32</f>
        <v/>
      </c>
      <c r="E32" s="15">
        <f>IFERROR(INDEX(Schedule!$H$18:$H$497,MATCH(A32*12,Schedule!$A$18:$A$497,0)),0)</f>
        <v/>
      </c>
    </row>
    <row r="33">
      <c r="A33" s="13" t="n">
        <v>29</v>
      </c>
      <c r="B33" s="15">
        <f>SUMIFS(Schedule!$E$18:$E$497,Schedule!$I$18:$I$497,A33)</f>
        <v/>
      </c>
      <c r="C33" s="15">
        <f>SUMIFS(Schedule!$F$18:$F$497,Schedule!$I$18:$I$497,A33)+SUMIFS(Schedule!$G$18:$G$497,Schedule!$I$18:$I$497,A33)</f>
        <v/>
      </c>
      <c r="D33" s="15">
        <f>B33+C33</f>
        <v/>
      </c>
      <c r="E33" s="15">
        <f>IFERROR(INDEX(Schedule!$H$18:$H$497,MATCH(A33*12,Schedule!$A$18:$A$497,0)),0)</f>
        <v/>
      </c>
    </row>
    <row r="34">
      <c r="A34" s="13" t="n">
        <v>30</v>
      </c>
      <c r="B34" s="15">
        <f>SUMIFS(Schedule!$E$18:$E$497,Schedule!$I$18:$I$497,A34)</f>
        <v/>
      </c>
      <c r="C34" s="15">
        <f>SUMIFS(Schedule!$F$18:$F$497,Schedule!$I$18:$I$497,A34)+SUMIFS(Schedule!$G$18:$G$497,Schedule!$I$18:$I$497,A34)</f>
        <v/>
      </c>
      <c r="D34" s="15">
        <f>B34+C34</f>
        <v/>
      </c>
      <c r="E34" s="15">
        <f>IFERROR(INDEX(Schedule!$H$18:$H$497,MATCH(A34*12,Schedule!$A$18:$A$497,0)),0)</f>
        <v/>
      </c>
    </row>
    <row r="35">
      <c r="A35" s="13" t="n">
        <v>31</v>
      </c>
      <c r="B35" s="15">
        <f>SUMIFS(Schedule!$E$18:$E$497,Schedule!$I$18:$I$497,A35)</f>
        <v/>
      </c>
      <c r="C35" s="15">
        <f>SUMIFS(Schedule!$F$18:$F$497,Schedule!$I$18:$I$497,A35)+SUMIFS(Schedule!$G$18:$G$497,Schedule!$I$18:$I$497,A35)</f>
        <v/>
      </c>
      <c r="D35" s="15">
        <f>B35+C35</f>
        <v/>
      </c>
      <c r="E35" s="15">
        <f>IFERROR(INDEX(Schedule!$H$18:$H$497,MATCH(A35*12,Schedule!$A$18:$A$497,0)),0)</f>
        <v/>
      </c>
    </row>
    <row r="36">
      <c r="A36" s="13" t="n">
        <v>32</v>
      </c>
      <c r="B36" s="15">
        <f>SUMIFS(Schedule!$E$18:$E$497,Schedule!$I$18:$I$497,A36)</f>
        <v/>
      </c>
      <c r="C36" s="15">
        <f>SUMIFS(Schedule!$F$18:$F$497,Schedule!$I$18:$I$497,A36)+SUMIFS(Schedule!$G$18:$G$497,Schedule!$I$18:$I$497,A36)</f>
        <v/>
      </c>
      <c r="D36" s="15">
        <f>B36+C36</f>
        <v/>
      </c>
      <c r="E36" s="15">
        <f>IFERROR(INDEX(Schedule!$H$18:$H$497,MATCH(A36*12,Schedule!$A$18:$A$497,0)),0)</f>
        <v/>
      </c>
    </row>
    <row r="37">
      <c r="A37" s="13" t="n">
        <v>33</v>
      </c>
      <c r="B37" s="15">
        <f>SUMIFS(Schedule!$E$18:$E$497,Schedule!$I$18:$I$497,A37)</f>
        <v/>
      </c>
      <c r="C37" s="15">
        <f>SUMIFS(Schedule!$F$18:$F$497,Schedule!$I$18:$I$497,A37)+SUMIFS(Schedule!$G$18:$G$497,Schedule!$I$18:$I$497,A37)</f>
        <v/>
      </c>
      <c r="D37" s="15">
        <f>B37+C37</f>
        <v/>
      </c>
      <c r="E37" s="15">
        <f>IFERROR(INDEX(Schedule!$H$18:$H$497,MATCH(A37*12,Schedule!$A$18:$A$497,0)),0)</f>
        <v/>
      </c>
    </row>
    <row r="38">
      <c r="A38" s="13" t="n">
        <v>34</v>
      </c>
      <c r="B38" s="15">
        <f>SUMIFS(Schedule!$E$18:$E$497,Schedule!$I$18:$I$497,A38)</f>
        <v/>
      </c>
      <c r="C38" s="15">
        <f>SUMIFS(Schedule!$F$18:$F$497,Schedule!$I$18:$I$497,A38)+SUMIFS(Schedule!$G$18:$G$497,Schedule!$I$18:$I$497,A38)</f>
        <v/>
      </c>
      <c r="D38" s="15">
        <f>B38+C38</f>
        <v/>
      </c>
      <c r="E38" s="15">
        <f>IFERROR(INDEX(Schedule!$H$18:$H$497,MATCH(A38*12,Schedule!$A$18:$A$497,0)),0)</f>
        <v/>
      </c>
    </row>
    <row r="39">
      <c r="A39" s="13" t="n">
        <v>35</v>
      </c>
      <c r="B39" s="15">
        <f>SUMIFS(Schedule!$E$18:$E$497,Schedule!$I$18:$I$497,A39)</f>
        <v/>
      </c>
      <c r="C39" s="15">
        <f>SUMIFS(Schedule!$F$18:$F$497,Schedule!$I$18:$I$497,A39)+SUMIFS(Schedule!$G$18:$G$497,Schedule!$I$18:$I$497,A39)</f>
        <v/>
      </c>
      <c r="D39" s="15">
        <f>B39+C39</f>
        <v/>
      </c>
      <c r="E39" s="15">
        <f>IFERROR(INDEX(Schedule!$H$18:$H$497,MATCH(A39*12,Schedule!$A$18:$A$497,0)),0)</f>
        <v/>
      </c>
    </row>
    <row r="40">
      <c r="A40" s="13" t="n">
        <v>36</v>
      </c>
      <c r="B40" s="15">
        <f>SUMIFS(Schedule!$E$18:$E$497,Schedule!$I$18:$I$497,A40)</f>
        <v/>
      </c>
      <c r="C40" s="15">
        <f>SUMIFS(Schedule!$F$18:$F$497,Schedule!$I$18:$I$497,A40)+SUMIFS(Schedule!$G$18:$G$497,Schedule!$I$18:$I$497,A40)</f>
        <v/>
      </c>
      <c r="D40" s="15">
        <f>B40+C40</f>
        <v/>
      </c>
      <c r="E40" s="15">
        <f>IFERROR(INDEX(Schedule!$H$18:$H$497,MATCH(A40*12,Schedule!$A$18:$A$497,0)),0)</f>
        <v/>
      </c>
    </row>
    <row r="41">
      <c r="A41" s="13" t="n">
        <v>37</v>
      </c>
      <c r="B41" s="15">
        <f>SUMIFS(Schedule!$E$18:$E$497,Schedule!$I$18:$I$497,A41)</f>
        <v/>
      </c>
      <c r="C41" s="15">
        <f>SUMIFS(Schedule!$F$18:$F$497,Schedule!$I$18:$I$497,A41)+SUMIFS(Schedule!$G$18:$G$497,Schedule!$I$18:$I$497,A41)</f>
        <v/>
      </c>
      <c r="D41" s="15">
        <f>B41+C41</f>
        <v/>
      </c>
      <c r="E41" s="15">
        <f>IFERROR(INDEX(Schedule!$H$18:$H$497,MATCH(A41*12,Schedule!$A$18:$A$497,0)),0)</f>
        <v/>
      </c>
    </row>
    <row r="42">
      <c r="A42" s="13" t="n">
        <v>38</v>
      </c>
      <c r="B42" s="15">
        <f>SUMIFS(Schedule!$E$18:$E$497,Schedule!$I$18:$I$497,A42)</f>
        <v/>
      </c>
      <c r="C42" s="15">
        <f>SUMIFS(Schedule!$F$18:$F$497,Schedule!$I$18:$I$497,A42)+SUMIFS(Schedule!$G$18:$G$497,Schedule!$I$18:$I$497,A42)</f>
        <v/>
      </c>
      <c r="D42" s="15">
        <f>B42+C42</f>
        <v/>
      </c>
      <c r="E42" s="15">
        <f>IFERROR(INDEX(Schedule!$H$18:$H$497,MATCH(A42*12,Schedule!$A$18:$A$497,0)),0)</f>
        <v/>
      </c>
    </row>
    <row r="43">
      <c r="A43" s="13" t="n">
        <v>39</v>
      </c>
      <c r="B43" s="15">
        <f>SUMIFS(Schedule!$E$18:$E$497,Schedule!$I$18:$I$497,A43)</f>
        <v/>
      </c>
      <c r="C43" s="15">
        <f>SUMIFS(Schedule!$F$18:$F$497,Schedule!$I$18:$I$497,A43)+SUMIFS(Schedule!$G$18:$G$497,Schedule!$I$18:$I$497,A43)</f>
        <v/>
      </c>
      <c r="D43" s="15">
        <f>B43+C43</f>
        <v/>
      </c>
      <c r="E43" s="15">
        <f>IFERROR(INDEX(Schedule!$H$18:$H$497,MATCH(A43*12,Schedule!$A$18:$A$497,0)),0)</f>
        <v/>
      </c>
    </row>
    <row r="44">
      <c r="A44" s="13" t="n">
        <v>40</v>
      </c>
      <c r="B44" s="15">
        <f>SUMIFS(Schedule!$E$18:$E$497,Schedule!$I$18:$I$497,A44)</f>
        <v/>
      </c>
      <c r="C44" s="15">
        <f>SUMIFS(Schedule!$F$18:$F$497,Schedule!$I$18:$I$497,A44)+SUMIFS(Schedule!$G$18:$G$497,Schedule!$I$18:$I$497,A44)</f>
        <v/>
      </c>
      <c r="D44" s="15">
        <f>B44+C44</f>
        <v/>
      </c>
      <c r="E44" s="15">
        <f>IFERROR(INDEX(Schedule!$H$18:$H$497,MATCH(A44*12,Schedule!$A$18:$A$497,0)),0)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sheet</t>
        </is>
      </c>
    </row>
    <row r="2">
      <c r="A2" s="18" t="inlineStr">
        <is>
          <t>1. On the Schedule sheet, type your loan amount, yearly rate and tenure in the yellow cells. Use the outstanding amount and remaining years if the loan is already running.</t>
        </is>
      </c>
    </row>
    <row r="3">
      <c r="A3" s="18" t="inlineStr">
        <is>
          <t>2. Put the date of your next EMI in "First EMI date".</t>
        </is>
      </c>
    </row>
    <row r="4">
      <c r="A4" s="18" t="inlineStr">
        <is>
          <t>3. To see what extra payments do, type a monthly extra amount. Results show the interest saved and the months saved.</t>
        </is>
      </c>
    </row>
    <row r="5">
      <c r="A5" s="18" t="inlineStr">
        <is>
          <t>4. The Yearly summary sheet adds up each year. The Schedule sheet shades every 12th month so you can find year ends.</t>
        </is>
      </c>
    </row>
    <row r="6">
      <c r="A6" s="18" t="inlineStr"/>
    </row>
    <row r="7">
      <c r="A7" s="17" t="inlineStr">
        <is>
          <t>What this sheet does not do</t>
        </is>
      </c>
    </row>
    <row r="8">
      <c r="A8" s="18" t="inlineStr">
        <is>
          <t>It uses a flat rate for the whole loan. If your rate is floating and has changed, enter your current rate and remaining tenure.</t>
        </is>
      </c>
    </row>
    <row r="9">
      <c r="A9" s="18" t="inlineStr">
        <is>
          <t>Banks round to the paisa and may count days, so your lender's statement can differ by a small amount. Ask for the statement if the gap is large.</t>
        </is>
      </c>
    </row>
    <row r="10">
      <c r="A10" s="18" t="inlineStr">
        <is>
          <t>It does not include fees, insurance or prepayment charges.</t>
        </is>
      </c>
    </row>
    <row r="11">
      <c r="A11" s="18" t="inlineStr"/>
    </row>
    <row r="12">
      <c r="A12" s="18" t="inlineStr">
        <is>
          <t>Check your own loan for free: loancheckup.in   |   Not financial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2026-10-17T15:48:09Z</dcterms:created>
  <dcterms:modified xmlns:dcterms="http://purl.org/dc/terms/" xmlns:xsi="http://www.w3.org/2001/XMLSchema-instance" xsi:type="dcterms:W3CDTF">2026-10-17T15:48:09Z</dcterms:modified>
</cp:coreProperties>
</file>